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75" yWindow="-225" windowWidth="13575" windowHeight="8130" activeTab="1"/>
  </bookViews>
  <sheets>
    <sheet name="U11" sheetId="6" r:id="rId1"/>
    <sheet name="U13" sheetId="7" r:id="rId2"/>
    <sheet name="U15" sheetId="1" r:id="rId3"/>
    <sheet name="Sheet1" sheetId="8" r:id="rId4"/>
  </sheets>
  <definedNames>
    <definedName name="_xlnm._FilterDatabase" localSheetId="1" hidden="1">'U13'!$A$5:$Q$9</definedName>
  </definedNames>
  <calcPr calcId="125725"/>
</workbook>
</file>

<file path=xl/calcChain.xml><?xml version="1.0" encoding="utf-8"?>
<calcChain xmlns="http://schemas.openxmlformats.org/spreadsheetml/2006/main">
  <c r="Q65" i="7"/>
  <c r="Q105" i="6" l="1"/>
  <c r="Q102"/>
  <c r="Q126"/>
  <c r="Q112"/>
  <c r="Q107"/>
  <c r="Q133"/>
  <c r="Q125"/>
  <c r="Q139"/>
  <c r="Q134"/>
  <c r="Q145"/>
  <c r="Q147"/>
  <c r="Q71"/>
  <c r="Q76"/>
  <c r="Q77"/>
  <c r="Q79"/>
  <c r="Q84"/>
  <c r="Q87"/>
  <c r="Q89"/>
  <c r="Q150" i="7"/>
  <c r="Q144"/>
  <c r="Q80"/>
  <c r="Q81"/>
  <c r="Q79"/>
  <c r="Q75"/>
  <c r="Q76"/>
  <c r="Q77"/>
  <c r="Q78"/>
  <c r="Q54"/>
  <c r="Q57"/>
  <c r="Q58"/>
  <c r="Q46"/>
  <c r="Q44"/>
  <c r="Q37"/>
  <c r="Q32"/>
  <c r="L174" i="6" l="1"/>
  <c r="L173"/>
  <c r="L170"/>
  <c r="L169"/>
  <c r="L168"/>
  <c r="L167"/>
  <c r="L115" i="1"/>
  <c r="L114"/>
  <c r="L113"/>
  <c r="L112"/>
  <c r="L111"/>
  <c r="L110"/>
  <c r="L109"/>
  <c r="L108"/>
  <c r="L107"/>
  <c r="L106"/>
  <c r="L105"/>
  <c r="L104"/>
  <c r="L100"/>
  <c r="L99"/>
  <c r="L98"/>
  <c r="L97"/>
  <c r="L96"/>
  <c r="L95"/>
  <c r="L94"/>
  <c r="L93"/>
  <c r="L92"/>
  <c r="L91"/>
  <c r="L90"/>
  <c r="L89"/>
  <c r="Q80"/>
  <c r="Q27"/>
  <c r="Q20"/>
  <c r="Q21"/>
  <c r="L156" i="7"/>
  <c r="L155"/>
  <c r="L154"/>
  <c r="L153"/>
  <c r="L152"/>
  <c r="L151"/>
  <c r="L149"/>
  <c r="L148"/>
  <c r="L147"/>
  <c r="L144"/>
  <c r="L145"/>
  <c r="L150"/>
  <c r="L146"/>
  <c r="Q128"/>
  <c r="L140"/>
  <c r="L139"/>
  <c r="L138"/>
  <c r="L137"/>
  <c r="L136"/>
  <c r="L135"/>
  <c r="L134"/>
  <c r="L133"/>
  <c r="L132"/>
  <c r="L131"/>
  <c r="L130"/>
  <c r="L129"/>
  <c r="L128"/>
  <c r="L175" i="6" l="1"/>
  <c r="L172"/>
  <c r="L171"/>
  <c r="L166"/>
  <c r="L162"/>
  <c r="L161"/>
  <c r="L160"/>
  <c r="L159"/>
  <c r="L158"/>
  <c r="L157"/>
  <c r="L156"/>
  <c r="L155"/>
  <c r="L154"/>
  <c r="L153"/>
  <c r="I157" l="1"/>
  <c r="I160"/>
  <c r="I156" i="7"/>
  <c r="I155"/>
  <c r="I154"/>
  <c r="I153"/>
  <c r="I152"/>
  <c r="I151"/>
  <c r="I148"/>
  <c r="I149"/>
  <c r="I145"/>
  <c r="Q19"/>
  <c r="I109" i="1" l="1"/>
  <c r="I114"/>
  <c r="I112"/>
  <c r="I115"/>
  <c r="I113"/>
  <c r="F113"/>
  <c r="Q113" s="1"/>
  <c r="I107"/>
  <c r="I111"/>
  <c r="I106"/>
  <c r="I108"/>
  <c r="I110"/>
  <c r="I105"/>
  <c r="I104"/>
  <c r="I100"/>
  <c r="I99"/>
  <c r="F99"/>
  <c r="Q99" s="1"/>
  <c r="I98"/>
  <c r="I97"/>
  <c r="I96"/>
  <c r="I95"/>
  <c r="I94"/>
  <c r="I93"/>
  <c r="I92"/>
  <c r="I91"/>
  <c r="I90"/>
  <c r="I89"/>
  <c r="Q82"/>
  <c r="Q81"/>
  <c r="Q77"/>
  <c r="Q74"/>
  <c r="Q70"/>
  <c r="Q72"/>
  <c r="Q69"/>
  <c r="Q66"/>
  <c r="Q65"/>
  <c r="Q60"/>
  <c r="Q58"/>
  <c r="Q57"/>
  <c r="Q56"/>
  <c r="Q54"/>
  <c r="Q52"/>
  <c r="Q28"/>
  <c r="Q25"/>
  <c r="Q24"/>
  <c r="Q17"/>
  <c r="Q29"/>
  <c r="Q6"/>
  <c r="Q156" i="7"/>
  <c r="I144"/>
  <c r="F154"/>
  <c r="Q153" s="1"/>
  <c r="I147"/>
  <c r="I150"/>
  <c r="I146"/>
  <c r="I131"/>
  <c r="I135"/>
  <c r="I136"/>
  <c r="I128"/>
  <c r="I139"/>
  <c r="I137"/>
  <c r="I138"/>
  <c r="I132"/>
  <c r="I140"/>
  <c r="I134"/>
  <c r="I133"/>
  <c r="I130"/>
  <c r="I129"/>
  <c r="Q105"/>
  <c r="Q102"/>
  <c r="Q39"/>
  <c r="Q72"/>
  <c r="Q95"/>
  <c r="Q93"/>
  <c r="Q94"/>
  <c r="Q82"/>
  <c r="Q86"/>
  <c r="Q87"/>
  <c r="Q63"/>
  <c r="Q61"/>
  <c r="Q52"/>
  <c r="Q55"/>
  <c r="Q50"/>
  <c r="Q47"/>
  <c r="Q49"/>
  <c r="Q40"/>
  <c r="Q26"/>
  <c r="Q30"/>
  <c r="Q33"/>
  <c r="Q34"/>
  <c r="Q18"/>
  <c r="Q27"/>
  <c r="Q12"/>
  <c r="Q13"/>
  <c r="Q21"/>
  <c r="I175" i="6"/>
  <c r="I166"/>
  <c r="I171"/>
  <c r="I170"/>
  <c r="I169"/>
  <c r="I173"/>
  <c r="I174"/>
  <c r="I172"/>
  <c r="I168"/>
  <c r="I167"/>
  <c r="I162"/>
  <c r="I158"/>
  <c r="I156"/>
  <c r="I161"/>
  <c r="I159"/>
  <c r="I155"/>
  <c r="I154"/>
  <c r="I153"/>
  <c r="Q121"/>
  <c r="Q120"/>
  <c r="Q95"/>
  <c r="Q97"/>
  <c r="Q91"/>
  <c r="Q132"/>
  <c r="Q103"/>
  <c r="Q101"/>
  <c r="Q99"/>
  <c r="Q123"/>
  <c r="Q94"/>
  <c r="Q92"/>
  <c r="Q36"/>
  <c r="Q63"/>
  <c r="Q47"/>
  <c r="Q27"/>
  <c r="Q40"/>
  <c r="Q24"/>
  <c r="Q11"/>
  <c r="Q12"/>
  <c r="Q37"/>
  <c r="Q83"/>
  <c r="Q53"/>
  <c r="Q74"/>
  <c r="Q31"/>
  <c r="Q29"/>
  <c r="Q14"/>
  <c r="Q20"/>
  <c r="Q13"/>
  <c r="Q8"/>
  <c r="Q5"/>
  <c r="Q112" i="1" l="1"/>
  <c r="F115"/>
  <c r="Q115" s="1"/>
  <c r="F114"/>
  <c r="Q114" s="1"/>
  <c r="F112"/>
  <c r="F111"/>
  <c r="F110"/>
  <c r="F109"/>
  <c r="F108"/>
  <c r="F107"/>
  <c r="F106"/>
  <c r="F105"/>
  <c r="F104"/>
  <c r="F100"/>
  <c r="Q100" s="1"/>
  <c r="F97"/>
  <c r="F96"/>
  <c r="F94"/>
  <c r="F93"/>
  <c r="F89"/>
  <c r="Q89" s="1"/>
  <c r="F95" l="1"/>
  <c r="F160" i="6" l="1"/>
  <c r="F175" l="1"/>
  <c r="F166"/>
  <c r="Q166" s="1"/>
  <c r="F162"/>
  <c r="Q162" s="1"/>
  <c r="F153"/>
  <c r="Q153" s="1"/>
  <c r="F156" i="7"/>
  <c r="Q155" s="1"/>
  <c r="F155"/>
  <c r="Q154" s="1"/>
  <c r="F144"/>
  <c r="F140"/>
  <c r="Q140" s="1"/>
  <c r="F139"/>
  <c r="Q139" s="1"/>
  <c r="F138"/>
  <c r="Q138" s="1"/>
  <c r="F137"/>
  <c r="Q137" s="1"/>
  <c r="F128"/>
  <c r="F98" i="1"/>
  <c r="Q98" s="1"/>
  <c r="F147" i="7"/>
  <c r="O155" i="6" l="1"/>
  <c r="O156"/>
  <c r="O157"/>
  <c r="O158"/>
  <c r="O159"/>
  <c r="O160"/>
  <c r="O161"/>
  <c r="O91" i="1"/>
  <c r="O92"/>
  <c r="O93"/>
  <c r="O94"/>
  <c r="O95"/>
  <c r="Q95" s="1"/>
  <c r="O96"/>
  <c r="O97"/>
  <c r="Q93"/>
  <c r="Q96"/>
  <c r="Q97"/>
  <c r="Q111"/>
  <c r="Q110"/>
  <c r="Q109"/>
  <c r="Q108"/>
  <c r="Q107"/>
  <c r="Q106"/>
  <c r="Q104"/>
  <c r="Q105"/>
  <c r="F92"/>
  <c r="Q92" s="1"/>
  <c r="F91"/>
  <c r="F90"/>
  <c r="O90"/>
  <c r="Q10"/>
  <c r="Q12"/>
  <c r="Q7"/>
  <c r="Q11"/>
  <c r="Q46"/>
  <c r="Q8"/>
  <c r="Q30"/>
  <c r="Q15"/>
  <c r="Q42"/>
  <c r="Q31"/>
  <c r="Q13"/>
  <c r="Q44"/>
  <c r="Q32"/>
  <c r="Q14"/>
  <c r="Q33"/>
  <c r="Q34"/>
  <c r="Q9"/>
  <c r="Q18"/>
  <c r="Q16"/>
  <c r="Q35"/>
  <c r="Q19"/>
  <c r="Q22"/>
  <c r="Q36"/>
  <c r="Q37"/>
  <c r="Q45"/>
  <c r="Q23"/>
  <c r="Q38"/>
  <c r="Q48"/>
  <c r="Q47"/>
  <c r="Q49"/>
  <c r="Q61"/>
  <c r="Q64"/>
  <c r="Q55"/>
  <c r="Q39"/>
  <c r="Q51"/>
  <c r="Q26"/>
  <c r="Q50"/>
  <c r="Q67"/>
  <c r="Q62"/>
  <c r="Q63"/>
  <c r="Q53"/>
  <c r="Q71"/>
  <c r="Q40"/>
  <c r="Q43"/>
  <c r="Q59"/>
  <c r="Q73"/>
  <c r="Q75"/>
  <c r="Q78"/>
  <c r="Q79"/>
  <c r="Q68"/>
  <c r="Q41"/>
  <c r="Q76"/>
  <c r="Q5"/>
  <c r="F153" i="7"/>
  <c r="F152"/>
  <c r="F151"/>
  <c r="F150"/>
  <c r="F149"/>
  <c r="Q148" s="1"/>
  <c r="F148"/>
  <c r="Q147"/>
  <c r="F146"/>
  <c r="F145"/>
  <c r="F136"/>
  <c r="F135"/>
  <c r="F134"/>
  <c r="F133"/>
  <c r="F132"/>
  <c r="F131"/>
  <c r="F130"/>
  <c r="F129"/>
  <c r="Q7"/>
  <c r="Q11"/>
  <c r="Q5"/>
  <c r="Q14"/>
  <c r="Q6"/>
  <c r="Q24"/>
  <c r="Q25"/>
  <c r="Q8"/>
  <c r="Q9"/>
  <c r="Q29"/>
  <c r="Q31"/>
  <c r="Q15"/>
  <c r="Q36"/>
  <c r="Q38"/>
  <c r="Q10"/>
  <c r="Q16"/>
  <c r="Q41"/>
  <c r="Q17"/>
  <c r="Q43"/>
  <c r="Q23"/>
  <c r="Q22"/>
  <c r="Q28"/>
  <c r="Q48"/>
  <c r="Q35"/>
  <c r="Q51"/>
  <c r="Q53"/>
  <c r="Q56"/>
  <c r="Q42"/>
  <c r="Q60"/>
  <c r="Q62"/>
  <c r="Q59"/>
  <c r="Q45"/>
  <c r="Q64"/>
  <c r="Q111"/>
  <c r="Q85"/>
  <c r="Q112"/>
  <c r="Q91"/>
  <c r="Q113"/>
  <c r="Q92"/>
  <c r="Q114"/>
  <c r="Q89"/>
  <c r="Q88"/>
  <c r="Q66"/>
  <c r="Q90"/>
  <c r="Q115"/>
  <c r="Q68"/>
  <c r="Q116"/>
  <c r="Q97"/>
  <c r="Q96"/>
  <c r="Q117"/>
  <c r="Q70"/>
  <c r="Q69"/>
  <c r="Q98"/>
  <c r="Q67"/>
  <c r="Q99"/>
  <c r="Q101"/>
  <c r="Q73"/>
  <c r="Q118"/>
  <c r="Q119"/>
  <c r="Q74"/>
  <c r="Q100"/>
  <c r="Q107"/>
  <c r="Q120"/>
  <c r="Q103"/>
  <c r="Q121"/>
  <c r="Q71"/>
  <c r="Q122"/>
  <c r="Q123"/>
  <c r="Q104"/>
  <c r="Q83"/>
  <c r="Q84"/>
  <c r="Q106"/>
  <c r="Q124"/>
  <c r="Q108"/>
  <c r="Q152"/>
  <c r="Q151"/>
  <c r="Q149"/>
  <c r="Q146"/>
  <c r="O145"/>
  <c r="Q136"/>
  <c r="Q135"/>
  <c r="Q134"/>
  <c r="Q133"/>
  <c r="Q132"/>
  <c r="Q131"/>
  <c r="Q130"/>
  <c r="O129"/>
  <c r="F174" i="6"/>
  <c r="Q174" s="1"/>
  <c r="F173"/>
  <c r="Q173" s="1"/>
  <c r="F172"/>
  <c r="Q172" s="1"/>
  <c r="F171"/>
  <c r="Q171" s="1"/>
  <c r="F170"/>
  <c r="Q170" s="1"/>
  <c r="F169"/>
  <c r="Q169" s="1"/>
  <c r="F168"/>
  <c r="Q168" s="1"/>
  <c r="F167"/>
  <c r="Q160"/>
  <c r="F161"/>
  <c r="F159"/>
  <c r="Q159" s="1"/>
  <c r="F158"/>
  <c r="F157"/>
  <c r="Q157" s="1"/>
  <c r="F156"/>
  <c r="F155"/>
  <c r="O167"/>
  <c r="Q148"/>
  <c r="Q143"/>
  <c r="Q142"/>
  <c r="Q140"/>
  <c r="Q116"/>
  <c r="Q90"/>
  <c r="Q137"/>
  <c r="Q135"/>
  <c r="Q111"/>
  <c r="Q130"/>
  <c r="Q128"/>
  <c r="Q127"/>
  <c r="Q141"/>
  <c r="Q144"/>
  <c r="Q136"/>
  <c r="Q118"/>
  <c r="Q146"/>
  <c r="Q122"/>
  <c r="Q138"/>
  <c r="Q109"/>
  <c r="Q119"/>
  <c r="Q129"/>
  <c r="Q117"/>
  <c r="Q115"/>
  <c r="Q114"/>
  <c r="Q113"/>
  <c r="Q110"/>
  <c r="Q108"/>
  <c r="Q100"/>
  <c r="Q124"/>
  <c r="Q106"/>
  <c r="Q131"/>
  <c r="Q104"/>
  <c r="Q93"/>
  <c r="Q98"/>
  <c r="Q96"/>
  <c r="Q49"/>
  <c r="Q65"/>
  <c r="Q64"/>
  <c r="Q22"/>
  <c r="Q32"/>
  <c r="Q62"/>
  <c r="Q54"/>
  <c r="Q45"/>
  <c r="Q59"/>
  <c r="Q58"/>
  <c r="Q57"/>
  <c r="Q67"/>
  <c r="Q55"/>
  <c r="Q66"/>
  <c r="Q52"/>
  <c r="Q51"/>
  <c r="Q50"/>
  <c r="Q16"/>
  <c r="Q48"/>
  <c r="Q46"/>
  <c r="Q42"/>
  <c r="Q80"/>
  <c r="Q41"/>
  <c r="Q78"/>
  <c r="Q39"/>
  <c r="Q70"/>
  <c r="Q88"/>
  <c r="Q44"/>
  <c r="Q86"/>
  <c r="Q72"/>
  <c r="Q35"/>
  <c r="Q69"/>
  <c r="Q25"/>
  <c r="Q75"/>
  <c r="Q85"/>
  <c r="Q10"/>
  <c r="Q28"/>
  <c r="Q43"/>
  <c r="Q17"/>
  <c r="Q60"/>
  <c r="Q33"/>
  <c r="Q15"/>
  <c r="Q34"/>
  <c r="Q82"/>
  <c r="Q81"/>
  <c r="Q38"/>
  <c r="Q61"/>
  <c r="Q19"/>
  <c r="Q23"/>
  <c r="Q30"/>
  <c r="Q56"/>
  <c r="Q9"/>
  <c r="Q7"/>
  <c r="F154"/>
  <c r="Q91" i="1" l="1"/>
  <c r="Q158" i="6"/>
  <c r="Q156"/>
  <c r="Q161"/>
  <c r="Q155"/>
  <c r="Q167"/>
  <c r="Q90" i="1"/>
  <c r="Q145" i="7"/>
  <c r="Q129"/>
  <c r="Q94" i="1"/>
  <c r="O154" i="6" l="1"/>
  <c r="Q20" i="7" l="1"/>
  <c r="Q154" i="6"/>
  <c r="Q21"/>
  <c r="Q68"/>
  <c r="Q26"/>
  <c r="Q6"/>
  <c r="Q73"/>
  <c r="Q18"/>
</calcChain>
</file>

<file path=xl/sharedStrings.xml><?xml version="1.0" encoding="utf-8"?>
<sst xmlns="http://schemas.openxmlformats.org/spreadsheetml/2006/main" count="1964" uniqueCount="785">
  <si>
    <t>Club</t>
  </si>
  <si>
    <t>Gender</t>
  </si>
  <si>
    <t>Score</t>
  </si>
  <si>
    <t>U11</t>
  </si>
  <si>
    <t>U13</t>
  </si>
  <si>
    <t>U15</t>
  </si>
  <si>
    <t>Position</t>
  </si>
  <si>
    <t>Time</t>
  </si>
  <si>
    <t>B</t>
  </si>
  <si>
    <t>Croydon</t>
  </si>
  <si>
    <t>G</t>
  </si>
  <si>
    <t>E&amp;E</t>
  </si>
  <si>
    <t>First Name</t>
  </si>
  <si>
    <t>Last Name</t>
  </si>
  <si>
    <t>Daniel</t>
  </si>
  <si>
    <t>K&amp;P</t>
  </si>
  <si>
    <t>Zoe</t>
  </si>
  <si>
    <t>Max</t>
  </si>
  <si>
    <t>Sutton</t>
  </si>
  <si>
    <t>Lewis</t>
  </si>
  <si>
    <t>Hannah</t>
  </si>
  <si>
    <t>Michael</t>
  </si>
  <si>
    <t>B/G pos</t>
  </si>
  <si>
    <t>HHH</t>
  </si>
  <si>
    <t>Jacob</t>
  </si>
  <si>
    <t>Alley</t>
  </si>
  <si>
    <t>Charlie</t>
  </si>
  <si>
    <t>Parry</t>
  </si>
  <si>
    <t>Freddie</t>
  </si>
  <si>
    <t>Dunbar</t>
  </si>
  <si>
    <t>Joe</t>
  </si>
  <si>
    <t>Webb-Bourne</t>
  </si>
  <si>
    <t>Miles</t>
  </si>
  <si>
    <t>Brown</t>
  </si>
  <si>
    <t>Kennett</t>
  </si>
  <si>
    <t>Norman</t>
  </si>
  <si>
    <t>Holland Sp</t>
  </si>
  <si>
    <t>Nick</t>
  </si>
  <si>
    <t>Musgrove</t>
  </si>
  <si>
    <t>Morrell</t>
  </si>
  <si>
    <t>SLH</t>
  </si>
  <si>
    <t>Felix</t>
  </si>
  <si>
    <t>Newton</t>
  </si>
  <si>
    <t>Krammer</t>
  </si>
  <si>
    <t>Owen</t>
  </si>
  <si>
    <t>Emment</t>
  </si>
  <si>
    <t>Mann</t>
  </si>
  <si>
    <t>Madison</t>
  </si>
  <si>
    <t>Isobel</t>
  </si>
  <si>
    <t>Wilson</t>
  </si>
  <si>
    <t>Penniceard</t>
  </si>
  <si>
    <t>Furze</t>
  </si>
  <si>
    <t>Lloyd</t>
  </si>
  <si>
    <t>Joseph</t>
  </si>
  <si>
    <t>Hunt</t>
  </si>
  <si>
    <t>Alix</t>
  </si>
  <si>
    <t>Baccardax</t>
  </si>
  <si>
    <t>O'Connell</t>
  </si>
  <si>
    <t>Salim</t>
  </si>
  <si>
    <t>Lomas</t>
  </si>
  <si>
    <t>Evie</t>
  </si>
  <si>
    <t xml:space="preserve">Crowther </t>
  </si>
  <si>
    <t xml:space="preserve">William </t>
  </si>
  <si>
    <t xml:space="preserve">Bailey </t>
  </si>
  <si>
    <t xml:space="preserve">Annabella </t>
  </si>
  <si>
    <t xml:space="preserve">Evan </t>
  </si>
  <si>
    <t xml:space="preserve">Samuel </t>
  </si>
  <si>
    <t>Taylor</t>
  </si>
  <si>
    <t xml:space="preserve">Isobel </t>
  </si>
  <si>
    <t>Mitchell</t>
  </si>
  <si>
    <t>Morden Runners</t>
  </si>
  <si>
    <t xml:space="preserve">Ciaran </t>
  </si>
  <si>
    <t xml:space="preserve">O'Connell </t>
  </si>
  <si>
    <t xml:space="preserve">Declan </t>
  </si>
  <si>
    <t>Newman</t>
  </si>
  <si>
    <t>Welsh</t>
  </si>
  <si>
    <t>Flynn</t>
  </si>
  <si>
    <t>Hodgson</t>
  </si>
  <si>
    <t>H&amp;W</t>
  </si>
  <si>
    <t>Reuben</t>
  </si>
  <si>
    <t>O'Leary</t>
  </si>
  <si>
    <t>Freya</t>
  </si>
  <si>
    <t xml:space="preserve">Sam </t>
  </si>
  <si>
    <t>John</t>
  </si>
  <si>
    <t>Slaven</t>
  </si>
  <si>
    <t>Royle</t>
  </si>
  <si>
    <t xml:space="preserve">Aspen </t>
  </si>
  <si>
    <t>Luke</t>
  </si>
  <si>
    <t>Danby</t>
  </si>
  <si>
    <t>Devon</t>
  </si>
  <si>
    <t>Mooney</t>
  </si>
  <si>
    <t xml:space="preserve">Thomas </t>
  </si>
  <si>
    <t xml:space="preserve">Erskine </t>
  </si>
  <si>
    <t>Waldon</t>
  </si>
  <si>
    <t>Jessop</t>
  </si>
  <si>
    <t>Wells</t>
  </si>
  <si>
    <t xml:space="preserve">Phoebe </t>
  </si>
  <si>
    <t>Race 1</t>
  </si>
  <si>
    <t>Race 2</t>
  </si>
  <si>
    <t>Race 3</t>
  </si>
  <si>
    <t xml:space="preserve">Race 4 </t>
  </si>
  <si>
    <t>Overall</t>
  </si>
  <si>
    <t xml:space="preserve">1st </t>
  </si>
  <si>
    <t>2nd</t>
  </si>
  <si>
    <t>3rd</t>
  </si>
  <si>
    <t>4th</t>
  </si>
  <si>
    <t>6th</t>
  </si>
  <si>
    <t>7th</t>
  </si>
  <si>
    <t>8th</t>
  </si>
  <si>
    <t>1st</t>
  </si>
  <si>
    <t>5th</t>
  </si>
  <si>
    <t xml:space="preserve">Jones </t>
  </si>
  <si>
    <t>Euan</t>
  </si>
  <si>
    <t xml:space="preserve">Ashmore </t>
  </si>
  <si>
    <t>Harris</t>
  </si>
  <si>
    <t xml:space="preserve">Kyra </t>
  </si>
  <si>
    <t xml:space="preserve">Sethna McIntosh </t>
  </si>
  <si>
    <t xml:space="preserve">Douglas </t>
  </si>
  <si>
    <t xml:space="preserve">Leanne </t>
  </si>
  <si>
    <t>Cate</t>
  </si>
  <si>
    <t>Coverley</t>
  </si>
  <si>
    <t xml:space="preserve">Hannah </t>
  </si>
  <si>
    <t>Iris</t>
  </si>
  <si>
    <t>Valkenburg</t>
  </si>
  <si>
    <t xml:space="preserve">Will </t>
  </si>
  <si>
    <t xml:space="preserve">Jaden </t>
  </si>
  <si>
    <t xml:space="preserve">Jacob </t>
  </si>
  <si>
    <t xml:space="preserve">Ben </t>
  </si>
  <si>
    <t xml:space="preserve">Luca </t>
  </si>
  <si>
    <t>Stevens - Cox</t>
  </si>
  <si>
    <t xml:space="preserve">Zoe </t>
  </si>
  <si>
    <t>Cruywagen</t>
  </si>
  <si>
    <t>Maggie</t>
  </si>
  <si>
    <t xml:space="preserve">Brandan </t>
  </si>
  <si>
    <t xml:space="preserve">Welsh </t>
  </si>
  <si>
    <t>Madeline</t>
  </si>
  <si>
    <t xml:space="preserve">Ceccherini </t>
  </si>
  <si>
    <t xml:space="preserve">James </t>
  </si>
  <si>
    <t xml:space="preserve">Sebastian </t>
  </si>
  <si>
    <t xml:space="preserve">Spencer </t>
  </si>
  <si>
    <t xml:space="preserve">Jack </t>
  </si>
  <si>
    <t xml:space="preserve">Daniel </t>
  </si>
  <si>
    <t xml:space="preserve">Alex </t>
  </si>
  <si>
    <t>Theo</t>
  </si>
  <si>
    <t>Downs League 2017/18</t>
  </si>
  <si>
    <t xml:space="preserve">Eloise </t>
  </si>
  <si>
    <t xml:space="preserve">Arthur </t>
  </si>
  <si>
    <t>Peachey</t>
  </si>
  <si>
    <t xml:space="preserve">Jamie </t>
  </si>
  <si>
    <t xml:space="preserve">Walters </t>
  </si>
  <si>
    <t>Ben</t>
  </si>
  <si>
    <t>Asli</t>
  </si>
  <si>
    <t xml:space="preserve">George </t>
  </si>
  <si>
    <t>Spilsbury</t>
  </si>
  <si>
    <t>Green</t>
  </si>
  <si>
    <t>Harvey</t>
  </si>
  <si>
    <t>Baines</t>
  </si>
  <si>
    <t xml:space="preserve">Oliver </t>
  </si>
  <si>
    <t>Marro</t>
  </si>
  <si>
    <t>Alfie</t>
  </si>
  <si>
    <t>Edgeworth</t>
  </si>
  <si>
    <t>Julia</t>
  </si>
  <si>
    <t xml:space="preserve">Darcey </t>
  </si>
  <si>
    <t>Stragglers</t>
  </si>
  <si>
    <t>Cooke</t>
  </si>
  <si>
    <t>Sam</t>
  </si>
  <si>
    <t>Bishop</t>
  </si>
  <si>
    <t xml:space="preserve">Ava </t>
  </si>
  <si>
    <t xml:space="preserve">Oscar </t>
  </si>
  <si>
    <t xml:space="preserve">Nicholas </t>
  </si>
  <si>
    <t xml:space="preserve">Bethan </t>
  </si>
  <si>
    <t xml:space="preserve">Elliot </t>
  </si>
  <si>
    <t>Shaul</t>
  </si>
  <si>
    <t>Boyd</t>
  </si>
  <si>
    <t>Walton</t>
  </si>
  <si>
    <t xml:space="preserve">Lucas </t>
  </si>
  <si>
    <t>Isabel</t>
  </si>
  <si>
    <t>Bowden</t>
  </si>
  <si>
    <t xml:space="preserve">Bainbridge </t>
  </si>
  <si>
    <t>Sheppard</t>
  </si>
  <si>
    <t>Kosab</t>
  </si>
  <si>
    <t xml:space="preserve">Sean </t>
  </si>
  <si>
    <t>Marcus</t>
  </si>
  <si>
    <t xml:space="preserve">Oak </t>
  </si>
  <si>
    <t>Buchan</t>
  </si>
  <si>
    <t>Lois</t>
  </si>
  <si>
    <t>Levy</t>
  </si>
  <si>
    <t xml:space="preserve">Josh </t>
  </si>
  <si>
    <t>Chapman</t>
  </si>
  <si>
    <t xml:space="preserve">Lily - Rose </t>
  </si>
  <si>
    <t xml:space="preserve">Hake </t>
  </si>
  <si>
    <t>Sophia</t>
  </si>
  <si>
    <t>Sahai</t>
  </si>
  <si>
    <t>Rosalie</t>
  </si>
  <si>
    <t>Laban</t>
  </si>
  <si>
    <t xml:space="preserve">Alice </t>
  </si>
  <si>
    <t>Stevens-Cox</t>
  </si>
  <si>
    <t xml:space="preserve">Forster </t>
  </si>
  <si>
    <t>Cecilia</t>
  </si>
  <si>
    <t>Hayward-Bhikha</t>
  </si>
  <si>
    <t>Remus</t>
  </si>
  <si>
    <t>Smart</t>
  </si>
  <si>
    <t xml:space="preserve">Anna </t>
  </si>
  <si>
    <t xml:space="preserve">Scarlet </t>
  </si>
  <si>
    <t xml:space="preserve">Finn </t>
  </si>
  <si>
    <t>MacDonald</t>
  </si>
  <si>
    <t xml:space="preserve">Newman </t>
  </si>
  <si>
    <t xml:space="preserve">Morden Runners </t>
  </si>
  <si>
    <t>Murray</t>
  </si>
  <si>
    <t xml:space="preserve">Matthew </t>
  </si>
  <si>
    <t>Beal</t>
  </si>
  <si>
    <t xml:space="preserve">Beal </t>
  </si>
  <si>
    <t>Emilio</t>
  </si>
  <si>
    <t>Olvera</t>
  </si>
  <si>
    <t xml:space="preserve">Sheen Shufflers </t>
  </si>
  <si>
    <t>Mano</t>
  </si>
  <si>
    <t>Oldfield</t>
  </si>
  <si>
    <t xml:space="preserve">Emily </t>
  </si>
  <si>
    <t>Brindley Hough</t>
  </si>
  <si>
    <t>Luca</t>
  </si>
  <si>
    <t>Barkan</t>
  </si>
  <si>
    <t>Noah</t>
  </si>
  <si>
    <t>Findell</t>
  </si>
  <si>
    <t>Jack</t>
  </si>
  <si>
    <t>Chaudhury</t>
  </si>
  <si>
    <t>Morgan</t>
  </si>
  <si>
    <t>Roxburgh</t>
  </si>
  <si>
    <t>Annice</t>
  </si>
  <si>
    <t>Kemp</t>
  </si>
  <si>
    <t xml:space="preserve">Maisie </t>
  </si>
  <si>
    <t xml:space="preserve">Roxburgh </t>
  </si>
  <si>
    <t xml:space="preserve">Maia </t>
  </si>
  <si>
    <t xml:space="preserve">Samantha </t>
  </si>
  <si>
    <t>Moon</t>
  </si>
  <si>
    <t xml:space="preserve">Matilda </t>
  </si>
  <si>
    <t xml:space="preserve">Anna - Li </t>
  </si>
  <si>
    <t xml:space="preserve">Darcey- Mae </t>
  </si>
  <si>
    <t xml:space="preserve">Booth </t>
  </si>
  <si>
    <t xml:space="preserve">Laila </t>
  </si>
  <si>
    <t xml:space="preserve">Charlotte </t>
  </si>
  <si>
    <t>Heager</t>
  </si>
  <si>
    <t xml:space="preserve">Summer </t>
  </si>
  <si>
    <t>Cormack</t>
  </si>
  <si>
    <t xml:space="preserve">Hayden </t>
  </si>
  <si>
    <t xml:space="preserve">Watts </t>
  </si>
  <si>
    <t xml:space="preserve">Jessica </t>
  </si>
  <si>
    <t xml:space="preserve">Tanna </t>
  </si>
  <si>
    <t>Pitout</t>
  </si>
  <si>
    <t>Adam</t>
  </si>
  <si>
    <t>Rickwood</t>
  </si>
  <si>
    <t xml:space="preserve">Zara </t>
  </si>
  <si>
    <t xml:space="preserve">Girling </t>
  </si>
  <si>
    <t xml:space="preserve">Billy </t>
  </si>
  <si>
    <t xml:space="preserve">Truman </t>
  </si>
  <si>
    <t>Cahill-Sawford</t>
  </si>
  <si>
    <t xml:space="preserve">Joshua </t>
  </si>
  <si>
    <t xml:space="preserve">Clinton </t>
  </si>
  <si>
    <t>McDonald</t>
  </si>
  <si>
    <t>Marsh</t>
  </si>
  <si>
    <t xml:space="preserve">Danny </t>
  </si>
  <si>
    <t>Trowell</t>
  </si>
  <si>
    <t>Martin</t>
  </si>
  <si>
    <t xml:space="preserve">Holland </t>
  </si>
  <si>
    <t xml:space="preserve">Estee </t>
  </si>
  <si>
    <t xml:space="preserve">Sammy </t>
  </si>
  <si>
    <t xml:space="preserve">Filler </t>
  </si>
  <si>
    <t>Leon</t>
  </si>
  <si>
    <t>E&amp;E  A</t>
  </si>
  <si>
    <t xml:space="preserve">  =1+2+3</t>
  </si>
  <si>
    <t xml:space="preserve"> =1+2+3</t>
  </si>
  <si>
    <t xml:space="preserve">BOYS </t>
  </si>
  <si>
    <t xml:space="preserve">GIRLS </t>
  </si>
  <si>
    <t xml:space="preserve"> = 4+6+12</t>
  </si>
  <si>
    <t xml:space="preserve"> = 7+21+35</t>
  </si>
  <si>
    <t xml:space="preserve"> = 8+13+20</t>
  </si>
  <si>
    <t xml:space="preserve"> = 9+15+24</t>
  </si>
  <si>
    <t xml:space="preserve"> =16+39+50</t>
  </si>
  <si>
    <t xml:space="preserve"> = 14+23+26</t>
  </si>
  <si>
    <t xml:space="preserve">8th </t>
  </si>
  <si>
    <t xml:space="preserve"> = 6 +38+38 </t>
  </si>
  <si>
    <t xml:space="preserve"> = 1+3+4</t>
  </si>
  <si>
    <t xml:space="preserve"> = 7+35+38</t>
  </si>
  <si>
    <t xml:space="preserve"> =9+13+17</t>
  </si>
  <si>
    <t xml:space="preserve"> =2+11+14</t>
  </si>
  <si>
    <t xml:space="preserve"> =38+38+38</t>
  </si>
  <si>
    <t xml:space="preserve"> =7+21+35</t>
  </si>
  <si>
    <t xml:space="preserve"> =5+8+38</t>
  </si>
  <si>
    <t xml:space="preserve">Poppy </t>
  </si>
  <si>
    <t xml:space="preserve">Wells </t>
  </si>
  <si>
    <t xml:space="preserve">Callum </t>
  </si>
  <si>
    <t xml:space="preserve">Hills </t>
  </si>
  <si>
    <t xml:space="preserve">Musgrove </t>
  </si>
  <si>
    <t xml:space="preserve">Olivia </t>
  </si>
  <si>
    <t xml:space="preserve">Calvo </t>
  </si>
  <si>
    <t xml:space="preserve">Izzy </t>
  </si>
  <si>
    <t>Ford</t>
  </si>
  <si>
    <t>Hosp</t>
  </si>
  <si>
    <t xml:space="preserve">Carpenter </t>
  </si>
  <si>
    <t xml:space="preserve">Millie </t>
  </si>
  <si>
    <t>Henson</t>
  </si>
  <si>
    <t xml:space="preserve">Alasdair </t>
  </si>
  <si>
    <t xml:space="preserve">Evans </t>
  </si>
  <si>
    <t>Imran</t>
  </si>
  <si>
    <t>Aikman</t>
  </si>
  <si>
    <t>Jana</t>
  </si>
  <si>
    <t xml:space="preserve">Sethna - McIntosh </t>
  </si>
  <si>
    <t xml:space="preserve">Mia </t>
  </si>
  <si>
    <t xml:space="preserve">Lily </t>
  </si>
  <si>
    <t>Nash</t>
  </si>
  <si>
    <t>Svante</t>
  </si>
  <si>
    <t>Jonsson</t>
  </si>
  <si>
    <t>Van Domselaar</t>
  </si>
  <si>
    <t>Rebecca</t>
  </si>
  <si>
    <t xml:space="preserve">Collins </t>
  </si>
  <si>
    <t>George</t>
  </si>
  <si>
    <t>Williamson</t>
  </si>
  <si>
    <t xml:space="preserve">Atkins </t>
  </si>
  <si>
    <t>Priest</t>
  </si>
  <si>
    <t>K+P</t>
  </si>
  <si>
    <t xml:space="preserve">Annamaria </t>
  </si>
  <si>
    <t>Niamu</t>
  </si>
  <si>
    <t>Dan</t>
  </si>
  <si>
    <t>Levine</t>
  </si>
  <si>
    <t>Naylor</t>
  </si>
  <si>
    <t xml:space="preserve">Gusie </t>
  </si>
  <si>
    <t xml:space="preserve">Reigate </t>
  </si>
  <si>
    <t xml:space="preserve">Rebecca </t>
  </si>
  <si>
    <t>Cottrell</t>
  </si>
  <si>
    <t xml:space="preserve">Stephen </t>
  </si>
  <si>
    <t xml:space="preserve">Smith </t>
  </si>
  <si>
    <t xml:space="preserve">Mac </t>
  </si>
  <si>
    <t xml:space="preserve">Walton </t>
  </si>
  <si>
    <t xml:space="preserve">David </t>
  </si>
  <si>
    <t xml:space="preserve">Johanna </t>
  </si>
  <si>
    <t xml:space="preserve">Nicholson </t>
  </si>
  <si>
    <t xml:space="preserve">Hebe </t>
  </si>
  <si>
    <t xml:space="preserve">Hunter </t>
  </si>
  <si>
    <t>Harry</t>
  </si>
  <si>
    <t>Bell</t>
  </si>
  <si>
    <t>Cowell-New</t>
  </si>
  <si>
    <t>Jensen</t>
  </si>
  <si>
    <t xml:space="preserve">Sophie </t>
  </si>
  <si>
    <t xml:space="preserve">Desmond </t>
  </si>
  <si>
    <t xml:space="preserve">Chloe </t>
  </si>
  <si>
    <t>Hoeseason</t>
  </si>
  <si>
    <t xml:space="preserve">Gabriella </t>
  </si>
  <si>
    <t xml:space="preserve">Turner </t>
  </si>
  <si>
    <t>Hans</t>
  </si>
  <si>
    <t>Hinde</t>
  </si>
  <si>
    <t xml:space="preserve">Gallagher </t>
  </si>
  <si>
    <t xml:space="preserve">Beare </t>
  </si>
  <si>
    <t>Heguold</t>
  </si>
  <si>
    <t>Naina</t>
  </si>
  <si>
    <t>Raizada</t>
  </si>
  <si>
    <t>Gigi</t>
  </si>
  <si>
    <t>Winder</t>
  </si>
  <si>
    <t>Kate</t>
  </si>
  <si>
    <t>Bunyard</t>
  </si>
  <si>
    <t xml:space="preserve">Mattilda </t>
  </si>
  <si>
    <t xml:space="preserve">Laidlaw </t>
  </si>
  <si>
    <t xml:space="preserve">Riona </t>
  </si>
  <si>
    <t xml:space="preserve">Stockley </t>
  </si>
  <si>
    <t xml:space="preserve">Jake </t>
  </si>
  <si>
    <t>Osborn</t>
  </si>
  <si>
    <t>Le Messurier</t>
  </si>
  <si>
    <t xml:space="preserve">Grace </t>
  </si>
  <si>
    <t xml:space="preserve">Fordham </t>
  </si>
  <si>
    <t xml:space="preserve">Joe </t>
  </si>
  <si>
    <t xml:space="preserve">Barker </t>
  </si>
  <si>
    <t xml:space="preserve">Abi </t>
  </si>
  <si>
    <t xml:space="preserve">Stafford </t>
  </si>
  <si>
    <t xml:space="preserve">Double </t>
  </si>
  <si>
    <t xml:space="preserve">Krystal </t>
  </si>
  <si>
    <t xml:space="preserve">Coleman </t>
  </si>
  <si>
    <t xml:space="preserve"> = 1+13+15 </t>
  </si>
  <si>
    <t xml:space="preserve"> = 7+10+24</t>
  </si>
  <si>
    <t xml:space="preserve"> = 19 +36+36</t>
  </si>
  <si>
    <t xml:space="preserve"> = 2+11+12</t>
  </si>
  <si>
    <t xml:space="preserve"> = 5+6+9</t>
  </si>
  <si>
    <t xml:space="preserve"> = 16+36+36</t>
  </si>
  <si>
    <t xml:space="preserve"> = 34+36+36</t>
  </si>
  <si>
    <t xml:space="preserve"> =23+35+36</t>
  </si>
  <si>
    <t xml:space="preserve"> = 1+2+9</t>
  </si>
  <si>
    <t xml:space="preserve"> =14+44+44</t>
  </si>
  <si>
    <t xml:space="preserve"> = 24+44+44</t>
  </si>
  <si>
    <t xml:space="preserve"> = 3+4+5</t>
  </si>
  <si>
    <t xml:space="preserve"> = 34+43+44</t>
  </si>
  <si>
    <t xml:space="preserve"> =33+42+44</t>
  </si>
  <si>
    <t xml:space="preserve"> = 38+44+44</t>
  </si>
  <si>
    <t>Mortimer</t>
  </si>
  <si>
    <t>Sheen Shufflers</t>
  </si>
  <si>
    <t xml:space="preserve">Dillon </t>
  </si>
  <si>
    <t xml:space="preserve">Quirici </t>
  </si>
  <si>
    <t xml:space="preserve">Gale </t>
  </si>
  <si>
    <t xml:space="preserve">Adam </t>
  </si>
  <si>
    <t>Rafferty</t>
  </si>
  <si>
    <t>Rory</t>
  </si>
  <si>
    <t>Summerton</t>
  </si>
  <si>
    <t>Dixon</t>
  </si>
  <si>
    <t xml:space="preserve">Ollie </t>
  </si>
  <si>
    <t xml:space="preserve">John </t>
  </si>
  <si>
    <t>Hudson</t>
  </si>
  <si>
    <t xml:space="preserve">Lucy </t>
  </si>
  <si>
    <t>Bateman</t>
  </si>
  <si>
    <t xml:space="preserve">Laura </t>
  </si>
  <si>
    <t xml:space="preserve">Levine </t>
  </si>
  <si>
    <t xml:space="preserve">Moore </t>
  </si>
  <si>
    <t xml:space="preserve">Morgan </t>
  </si>
  <si>
    <t>Lee</t>
  </si>
  <si>
    <t xml:space="preserve">Gulcin </t>
  </si>
  <si>
    <t>Erten</t>
  </si>
  <si>
    <t>Tugce</t>
  </si>
  <si>
    <t xml:space="preserve">Antara </t>
  </si>
  <si>
    <t>Singh</t>
  </si>
  <si>
    <t xml:space="preserve">Waite </t>
  </si>
  <si>
    <t xml:space="preserve">Katie </t>
  </si>
  <si>
    <t xml:space="preserve">Li Norah </t>
  </si>
  <si>
    <t xml:space="preserve">Hector </t>
  </si>
  <si>
    <t>Revill</t>
  </si>
  <si>
    <t>Rennie</t>
  </si>
  <si>
    <t xml:space="preserve">Edward </t>
  </si>
  <si>
    <t xml:space="preserve">Anya </t>
  </si>
  <si>
    <t xml:space="preserve">Stacey </t>
  </si>
  <si>
    <t xml:space="preserve">Ellis </t>
  </si>
  <si>
    <t>E+E</t>
  </si>
  <si>
    <t xml:space="preserve">Jess </t>
  </si>
  <si>
    <t>Henry</t>
  </si>
  <si>
    <t>Smith</t>
  </si>
  <si>
    <t xml:space="preserve">Ella </t>
  </si>
  <si>
    <t xml:space="preserve">Arkwright </t>
  </si>
  <si>
    <t>Tymon</t>
  </si>
  <si>
    <t>Mazur</t>
  </si>
  <si>
    <t xml:space="preserve">Kiara </t>
  </si>
  <si>
    <t xml:space="preserve">Valkenburg </t>
  </si>
  <si>
    <t xml:space="preserve">Kennedy </t>
  </si>
  <si>
    <t xml:space="preserve">Luke </t>
  </si>
  <si>
    <t xml:space="preserve">India </t>
  </si>
  <si>
    <t>Adams</t>
  </si>
  <si>
    <t xml:space="preserve">Craig McFeely </t>
  </si>
  <si>
    <t xml:space="preserve">Kai </t>
  </si>
  <si>
    <t xml:space="preserve">Chatterjee </t>
  </si>
  <si>
    <t xml:space="preserve">Roberts </t>
  </si>
  <si>
    <t xml:space="preserve">Findlay </t>
  </si>
  <si>
    <t xml:space="preserve">Tilly </t>
  </si>
  <si>
    <t xml:space="preserve">Stevens - Cox </t>
  </si>
  <si>
    <t>Smith-Londono</t>
  </si>
  <si>
    <t xml:space="preserve"> = 8+18+25</t>
  </si>
  <si>
    <t xml:space="preserve"> =7+10+11</t>
  </si>
  <si>
    <t>Race 4</t>
  </si>
  <si>
    <t>Norvel</t>
  </si>
  <si>
    <t xml:space="preserve">Sutton </t>
  </si>
  <si>
    <t xml:space="preserve"> = 13+17+23</t>
  </si>
  <si>
    <t>9th</t>
  </si>
  <si>
    <t xml:space="preserve"> = 6+8+31</t>
  </si>
  <si>
    <t xml:space="preserve"> = 9+14+21</t>
  </si>
  <si>
    <t>10th</t>
  </si>
  <si>
    <t xml:space="preserve">Stragglers </t>
  </si>
  <si>
    <t xml:space="preserve">Croydon </t>
  </si>
  <si>
    <t xml:space="preserve"> =17+18+36</t>
  </si>
  <si>
    <t xml:space="preserve"> =22+36+36</t>
  </si>
  <si>
    <t xml:space="preserve">  =4+36+36</t>
  </si>
  <si>
    <t xml:space="preserve"> = 3+14+21</t>
  </si>
  <si>
    <t xml:space="preserve">4th </t>
  </si>
  <si>
    <t xml:space="preserve"> = 8+36+36</t>
  </si>
  <si>
    <t xml:space="preserve"> =21+22+28</t>
  </si>
  <si>
    <t xml:space="preserve"> = 27+44 +44</t>
  </si>
  <si>
    <t xml:space="preserve"> = 20+44+44</t>
  </si>
  <si>
    <t>11th</t>
  </si>
  <si>
    <t>12th</t>
  </si>
  <si>
    <t xml:space="preserve"> = 31+60+60</t>
  </si>
  <si>
    <t>Ranelagh</t>
  </si>
  <si>
    <t xml:space="preserve"> = 44+45+60</t>
  </si>
  <si>
    <t xml:space="preserve"> =15+36+38</t>
  </si>
  <si>
    <t xml:space="preserve">Holland Sp </t>
  </si>
  <si>
    <t xml:space="preserve">HHH </t>
  </si>
  <si>
    <t xml:space="preserve">K&amp;P </t>
  </si>
  <si>
    <t xml:space="preserve">SLH </t>
  </si>
  <si>
    <t xml:space="preserve">E&amp;E </t>
  </si>
  <si>
    <t xml:space="preserve"> =27+38+38</t>
  </si>
  <si>
    <t>Alex</t>
  </si>
  <si>
    <t>Aisa Miller</t>
  </si>
  <si>
    <t>Chatterjee</t>
  </si>
  <si>
    <t>Zachary</t>
  </si>
  <si>
    <t xml:space="preserve">Cillian </t>
  </si>
  <si>
    <t>Houston</t>
  </si>
  <si>
    <t xml:space="preserve"> = 24+32+38</t>
  </si>
  <si>
    <t>Rose</t>
  </si>
  <si>
    <t xml:space="preserve">Lily May </t>
  </si>
  <si>
    <t>Willoughby-Anderson</t>
  </si>
  <si>
    <t xml:space="preserve">Morrell </t>
  </si>
  <si>
    <t xml:space="preserve"> =15+31+31</t>
  </si>
  <si>
    <t xml:space="preserve"> =5+13+30</t>
  </si>
  <si>
    <t xml:space="preserve"> =12+30+30</t>
  </si>
  <si>
    <t xml:space="preserve"> =19+23+28</t>
  </si>
  <si>
    <t xml:space="preserve"> =30+30+30</t>
  </si>
  <si>
    <t xml:space="preserve"> =6+30+30</t>
  </si>
  <si>
    <t xml:space="preserve"> =27+27+27</t>
  </si>
  <si>
    <t xml:space="preserve"> =2+3+4</t>
  </si>
  <si>
    <t xml:space="preserve"> = 8+15+27</t>
  </si>
  <si>
    <t xml:space="preserve"> = 10+19+27</t>
  </si>
  <si>
    <t xml:space="preserve"> =1+13+16</t>
  </si>
  <si>
    <t xml:space="preserve"> = 17+27+27</t>
  </si>
  <si>
    <t xml:space="preserve"> = 22+27+27</t>
  </si>
  <si>
    <t xml:space="preserve"> = 5+7+27</t>
  </si>
  <si>
    <t xml:space="preserve"> =9+14+18</t>
  </si>
  <si>
    <t xml:space="preserve"> = 11+23+27</t>
  </si>
  <si>
    <t>Henderson</t>
  </si>
  <si>
    <t>Patrick</t>
  </si>
  <si>
    <t>Moilliet</t>
  </si>
  <si>
    <t>Mumford</t>
  </si>
  <si>
    <t>Hossack</t>
  </si>
  <si>
    <t>Rank</t>
  </si>
  <si>
    <t>Spall</t>
  </si>
  <si>
    <t>Theodore</t>
  </si>
  <si>
    <t>Heath</t>
  </si>
  <si>
    <t>Cockerell</t>
  </si>
  <si>
    <t>Finlay</t>
  </si>
  <si>
    <t>Gordon</t>
  </si>
  <si>
    <t xml:space="preserve">Sabrina </t>
  </si>
  <si>
    <t>Coppola-Johansen</t>
  </si>
  <si>
    <t>Lloyd-Davies</t>
  </si>
  <si>
    <t>Rosie</t>
  </si>
  <si>
    <t>Walker</t>
  </si>
  <si>
    <t>Eva</t>
  </si>
  <si>
    <t>Cerilli</t>
  </si>
  <si>
    <t>Fabien</t>
  </si>
  <si>
    <t>Whitelock</t>
  </si>
  <si>
    <t>Dul</t>
  </si>
  <si>
    <t>John-Cox</t>
  </si>
  <si>
    <t>Reigate</t>
  </si>
  <si>
    <t>Katie</t>
  </si>
  <si>
    <t>Foss</t>
  </si>
  <si>
    <t>Amber</t>
  </si>
  <si>
    <t>Bloomfield</t>
  </si>
  <si>
    <t>Verdaant</t>
  </si>
  <si>
    <t>Saggi</t>
  </si>
  <si>
    <t>Ferris</t>
  </si>
  <si>
    <t>Chapple</t>
  </si>
  <si>
    <t>Lilia</t>
  </si>
  <si>
    <t>Hadjiandreou</t>
  </si>
  <si>
    <t>Jimena</t>
  </si>
  <si>
    <t>Stynes</t>
  </si>
  <si>
    <t>Williams</t>
  </si>
  <si>
    <t>Tara</t>
  </si>
  <si>
    <t>Healy</t>
  </si>
  <si>
    <t>Aaran</t>
  </si>
  <si>
    <t>Ridgeway</t>
  </si>
  <si>
    <t>Archie</t>
  </si>
  <si>
    <t>Austin</t>
  </si>
  <si>
    <t>Prebble</t>
  </si>
  <si>
    <t>Harrison</t>
  </si>
  <si>
    <t>Hayman</t>
  </si>
  <si>
    <t>Grace</t>
  </si>
  <si>
    <t>Isabella</t>
  </si>
  <si>
    <t>Key</t>
  </si>
  <si>
    <t xml:space="preserve"> =55+55+55</t>
  </si>
  <si>
    <t xml:space="preserve"> =2+3+10</t>
  </si>
  <si>
    <t xml:space="preserve"> =4+5+12</t>
  </si>
  <si>
    <t xml:space="preserve"> = 49+53+55</t>
  </si>
  <si>
    <t xml:space="preserve"> =14+22+24</t>
  </si>
  <si>
    <t xml:space="preserve"> =8+18+32</t>
  </si>
  <si>
    <t xml:space="preserve"> =15+17+23</t>
  </si>
  <si>
    <t xml:space="preserve"> = 55+55+55</t>
  </si>
  <si>
    <t xml:space="preserve"> =13+32+32</t>
  </si>
  <si>
    <t xml:space="preserve"> =1+2+4</t>
  </si>
  <si>
    <t xml:space="preserve"> =27+32+32</t>
  </si>
  <si>
    <t xml:space="preserve"> =7+14+32</t>
  </si>
  <si>
    <t xml:space="preserve"> = 20+22+31</t>
  </si>
  <si>
    <t xml:space="preserve"> =9+18+28</t>
  </si>
  <si>
    <t xml:space="preserve"> = 10+15+17</t>
  </si>
  <si>
    <t xml:space="preserve"> = 8+19+32</t>
  </si>
  <si>
    <t xml:space="preserve"> =32+32+32</t>
  </si>
  <si>
    <t>Dylan</t>
  </si>
  <si>
    <t>Kingaby</t>
  </si>
  <si>
    <t xml:space="preserve">Matt </t>
  </si>
  <si>
    <t>Conway</t>
  </si>
  <si>
    <t xml:space="preserve">McAllister </t>
  </si>
  <si>
    <t>Hamish</t>
  </si>
  <si>
    <t>Juliet</t>
  </si>
  <si>
    <t>Parson</t>
  </si>
  <si>
    <t>Alissa</t>
  </si>
  <si>
    <t>Erin</t>
  </si>
  <si>
    <t>Simper</t>
  </si>
  <si>
    <t>Gelona</t>
  </si>
  <si>
    <t>Stewart</t>
  </si>
  <si>
    <t>Samuel</t>
  </si>
  <si>
    <t>Spencer</t>
  </si>
  <si>
    <t>Lauren</t>
  </si>
  <si>
    <t xml:space="preserve">Armitage </t>
  </si>
  <si>
    <t xml:space="preserve">Lulu </t>
  </si>
  <si>
    <t>Weisz</t>
  </si>
  <si>
    <t xml:space="preserve">Joseph </t>
  </si>
  <si>
    <t>Willis</t>
  </si>
  <si>
    <t>Anna</t>
  </si>
  <si>
    <t xml:space="preserve">Pickering </t>
  </si>
  <si>
    <t>McManns</t>
  </si>
  <si>
    <t xml:space="preserve">Eva </t>
  </si>
  <si>
    <t xml:space="preserve">Harvey </t>
  </si>
  <si>
    <t>Hutchison</t>
  </si>
  <si>
    <t>McGuigan</t>
  </si>
  <si>
    <t>Nelson</t>
  </si>
  <si>
    <t>Mclennan</t>
  </si>
  <si>
    <t xml:space="preserve">Iris </t>
  </si>
  <si>
    <t>Birbeck</t>
  </si>
  <si>
    <t xml:space="preserve"> = 15+25+28</t>
  </si>
  <si>
    <t xml:space="preserve"> =1+8+19</t>
  </si>
  <si>
    <t xml:space="preserve"> = 6+7+9</t>
  </si>
  <si>
    <t xml:space="preserve"> = 35+36+36</t>
  </si>
  <si>
    <t xml:space="preserve"> = 3+26+36</t>
  </si>
  <si>
    <t xml:space="preserve"> = 4+33+36</t>
  </si>
  <si>
    <t xml:space="preserve"> = 13+21+29</t>
  </si>
  <si>
    <t xml:space="preserve"> =11+20+36</t>
  </si>
  <si>
    <t xml:space="preserve"> = 2+36+36</t>
  </si>
  <si>
    <t xml:space="preserve"> = 5+10+17</t>
  </si>
  <si>
    <t xml:space="preserve"> =14+16+31</t>
  </si>
  <si>
    <t xml:space="preserve"> = 18+34+36</t>
  </si>
  <si>
    <t xml:space="preserve"> =36+36+36</t>
  </si>
  <si>
    <t>13th</t>
  </si>
  <si>
    <t xml:space="preserve"> = 1+9+19</t>
  </si>
  <si>
    <t xml:space="preserve"> =2+6+7</t>
  </si>
  <si>
    <t xml:space="preserve"> =10+11+14</t>
  </si>
  <si>
    <t xml:space="preserve"> = 44+44+44</t>
  </si>
  <si>
    <t xml:space="preserve"> =3+5+17</t>
  </si>
  <si>
    <t xml:space="preserve">2nd </t>
  </si>
  <si>
    <t xml:space="preserve">Madeleine </t>
  </si>
  <si>
    <t>McGuican</t>
  </si>
  <si>
    <t>Masters</t>
  </si>
  <si>
    <t>Olivia</t>
  </si>
  <si>
    <t>Thompson</t>
  </si>
  <si>
    <t>Oliver</t>
  </si>
  <si>
    <t>Anderson</t>
  </si>
  <si>
    <t xml:space="preserve">Alfie </t>
  </si>
  <si>
    <t>England</t>
  </si>
  <si>
    <t xml:space="preserve">Sally </t>
  </si>
  <si>
    <t>Mammen</t>
  </si>
  <si>
    <t xml:space="preserve">Lani </t>
  </si>
  <si>
    <t xml:space="preserve">Cardwell </t>
  </si>
  <si>
    <t xml:space="preserve">Zahra </t>
  </si>
  <si>
    <t>Hadfiield</t>
  </si>
  <si>
    <t xml:space="preserve">Eoise </t>
  </si>
  <si>
    <t xml:space="preserve">Williams </t>
  </si>
  <si>
    <t xml:space="preserve">Jo Jo </t>
  </si>
  <si>
    <t xml:space="preserve">McLean </t>
  </si>
  <si>
    <t>Esme</t>
  </si>
  <si>
    <t>Cerrilly</t>
  </si>
  <si>
    <t>Tame</t>
  </si>
  <si>
    <t xml:space="preserve">Daniella </t>
  </si>
  <si>
    <t>Ciccarelli</t>
  </si>
  <si>
    <t xml:space="preserve">Mimi </t>
  </si>
  <si>
    <t>McDuell</t>
  </si>
  <si>
    <t>Marlon</t>
  </si>
  <si>
    <t xml:space="preserve">Isabella </t>
  </si>
  <si>
    <t>D'Amico</t>
  </si>
  <si>
    <t xml:space="preserve">Susannah </t>
  </si>
  <si>
    <t>Sophie</t>
  </si>
  <si>
    <t xml:space="preserve"> =7+22+22</t>
  </si>
  <si>
    <t xml:space="preserve"> =6+15+19</t>
  </si>
  <si>
    <t xml:space="preserve"> =1+2+5</t>
  </si>
  <si>
    <t xml:space="preserve"> =4+13+17</t>
  </si>
  <si>
    <t xml:space="preserve"> =8+16+21</t>
  </si>
  <si>
    <t xml:space="preserve"> =10+20+22</t>
  </si>
  <si>
    <t xml:space="preserve"> =22+22+22</t>
  </si>
  <si>
    <t xml:space="preserve"> = 11+12+14</t>
  </si>
  <si>
    <t xml:space="preserve"> =3+22+22</t>
  </si>
  <si>
    <t xml:space="preserve"> = 32+32+32</t>
  </si>
  <si>
    <t xml:space="preserve"> =2+3+5</t>
  </si>
  <si>
    <t xml:space="preserve"> =31+32+32</t>
  </si>
  <si>
    <t xml:space="preserve"> =1+10+16</t>
  </si>
  <si>
    <t xml:space="preserve"> = 15+22+26</t>
  </si>
  <si>
    <t xml:space="preserve"> =13+19+24</t>
  </si>
  <si>
    <t xml:space="preserve"> =4+32+32</t>
  </si>
  <si>
    <t xml:space="preserve"> =9+14+27</t>
  </si>
  <si>
    <t xml:space="preserve"> = 12+17+21</t>
  </si>
  <si>
    <t>Hoseason</t>
  </si>
  <si>
    <t>Howson</t>
  </si>
  <si>
    <t xml:space="preserve"> = 13+37+39</t>
  </si>
  <si>
    <t xml:space="preserve"> =39+39+39</t>
  </si>
  <si>
    <t xml:space="preserve"> = 24+39+39</t>
  </si>
  <si>
    <t xml:space="preserve"> = 39+39+39</t>
  </si>
  <si>
    <t xml:space="preserve"> =38+39+39</t>
  </si>
  <si>
    <t xml:space="preserve"> =18+31+33</t>
  </si>
  <si>
    <t xml:space="preserve"> = 16+32+39</t>
  </si>
  <si>
    <t xml:space="preserve"> = 4+15+39</t>
  </si>
  <si>
    <t xml:space="preserve"> =25+39+39</t>
  </si>
  <si>
    <t>Cristian</t>
  </si>
  <si>
    <t>Tuckman</t>
  </si>
  <si>
    <t xml:space="preserve">Aisa  Miller </t>
  </si>
  <si>
    <t xml:space="preserve"> =40+47+50</t>
  </si>
  <si>
    <t>O'Hanlon</t>
  </si>
  <si>
    <t>Highmoor</t>
  </si>
  <si>
    <t>Hirst</t>
  </si>
  <si>
    <t>Moloney</t>
  </si>
  <si>
    <t>Willson</t>
  </si>
  <si>
    <t xml:space="preserve"> = 7+9+21</t>
  </si>
  <si>
    <t>Dalmeida</t>
  </si>
  <si>
    <t>Abinadab</t>
  </si>
  <si>
    <t>Panchalingan</t>
  </si>
  <si>
    <t>Simpson</t>
  </si>
  <si>
    <t>Isla</t>
  </si>
  <si>
    <t>Naidoo</t>
  </si>
  <si>
    <t xml:space="preserve">Rosalee </t>
  </si>
  <si>
    <t xml:space="preserve">Isla </t>
  </si>
  <si>
    <t>Nicholson</t>
  </si>
  <si>
    <t>Whittingham</t>
  </si>
  <si>
    <t xml:space="preserve">Madison </t>
  </si>
  <si>
    <t>Whyatt</t>
  </si>
  <si>
    <t>Lawrie</t>
  </si>
  <si>
    <t>James</t>
  </si>
  <si>
    <t>Jaiya</t>
  </si>
  <si>
    <t>Sakharet</t>
  </si>
  <si>
    <t>Siri</t>
  </si>
  <si>
    <t xml:space="preserve"> =17+38+38</t>
  </si>
  <si>
    <t xml:space="preserve"> = 9+18+20 </t>
  </si>
  <si>
    <t xml:space="preserve"> =14+38+38</t>
  </si>
  <si>
    <t xml:space="preserve"> =8+11+31</t>
  </si>
  <si>
    <t xml:space="preserve"> =25+38+38</t>
  </si>
  <si>
    <t xml:space="preserve"> = 29+36+37</t>
  </si>
  <si>
    <t xml:space="preserve"> =13 +16+21</t>
  </si>
  <si>
    <t xml:space="preserve"> = 38+38+38</t>
  </si>
  <si>
    <t xml:space="preserve"> =24+24+24</t>
  </si>
  <si>
    <t xml:space="preserve"> =10+19+24</t>
  </si>
  <si>
    <t>Ranlagh</t>
  </si>
  <si>
    <t xml:space="preserve">Osborn </t>
  </si>
  <si>
    <t>Ashcroft</t>
  </si>
  <si>
    <t>Ebuka</t>
  </si>
  <si>
    <t>Nkanuo</t>
  </si>
  <si>
    <t>Chizoba</t>
  </si>
  <si>
    <t>Doyle</t>
  </si>
  <si>
    <t>Ore</t>
  </si>
  <si>
    <t>Adewale</t>
  </si>
  <si>
    <t>Beltan</t>
  </si>
  <si>
    <t>Alice</t>
  </si>
  <si>
    <t>Stanley</t>
  </si>
  <si>
    <t>Choudhury</t>
  </si>
  <si>
    <t>Niamh</t>
  </si>
  <si>
    <t xml:space="preserve">O'Connall </t>
  </si>
  <si>
    <t>Oscar</t>
  </si>
  <si>
    <t>Buttle</t>
  </si>
  <si>
    <t xml:space="preserve">Noah </t>
  </si>
  <si>
    <t>Laird</t>
  </si>
  <si>
    <t>Jamie</t>
  </si>
  <si>
    <t>Hobday</t>
  </si>
  <si>
    <t xml:space="preserve"> = 4+27+27</t>
  </si>
  <si>
    <t xml:space="preserve"> = 11+12+13</t>
  </si>
  <si>
    <t xml:space="preserve"> =9+27+27</t>
  </si>
  <si>
    <t xml:space="preserve"> =10+27+27</t>
  </si>
  <si>
    <t xml:space="preserve"> =3+5+8</t>
  </si>
  <si>
    <t xml:space="preserve"> =26+27+27</t>
  </si>
  <si>
    <t xml:space="preserve"> =18+22+27</t>
  </si>
  <si>
    <t xml:space="preserve"> =19+24+27</t>
  </si>
  <si>
    <t xml:space="preserve"> = 6+7+14</t>
  </si>
  <si>
    <t xml:space="preserve"> =1+27+27</t>
  </si>
  <si>
    <t xml:space="preserve"> =2+27+27</t>
  </si>
  <si>
    <t xml:space="preserve"> =1+8+11</t>
  </si>
  <si>
    <t xml:space="preserve"> =2+4+6</t>
  </si>
  <si>
    <t xml:space="preserve"> =5+10+12</t>
  </si>
  <si>
    <t xml:space="preserve"> =22+23+23</t>
  </si>
  <si>
    <t xml:space="preserve"> =7+19+20</t>
  </si>
  <si>
    <t xml:space="preserve"> =3+13+23</t>
  </si>
  <si>
    <t xml:space="preserve"> =23+23+23</t>
  </si>
  <si>
    <t xml:space="preserve"> =14+23+23</t>
  </si>
  <si>
    <t>Bethany</t>
  </si>
  <si>
    <t>Hammond</t>
  </si>
  <si>
    <t xml:space="preserve"> =14+14+14</t>
  </si>
  <si>
    <t xml:space="preserve"> = 11+14+14</t>
  </si>
  <si>
    <t xml:space="preserve"> = 13+15+15</t>
  </si>
  <si>
    <t xml:space="preserve"> = 5+13+14</t>
  </si>
  <si>
    <t xml:space="preserve"> = 1+2+4</t>
  </si>
  <si>
    <t xml:space="preserve"> = 8+14+14</t>
  </si>
  <si>
    <t xml:space="preserve"> = 14+14+14</t>
  </si>
  <si>
    <t xml:space="preserve"> = 3+9+10</t>
  </si>
  <si>
    <t xml:space="preserve"> = 7+14+14</t>
  </si>
  <si>
    <t xml:space="preserve"> = 15+15+15</t>
  </si>
  <si>
    <t xml:space="preserve"> = 5+15+15</t>
  </si>
  <si>
    <t xml:space="preserve"> = 9+10+12</t>
  </si>
  <si>
    <t xml:space="preserve"> = 8+15+15</t>
  </si>
  <si>
    <t xml:space="preserve"> = 3+15+15</t>
  </si>
  <si>
    <t xml:space="preserve"> = 6+7+11</t>
  </si>
  <si>
    <t xml:space="preserve"> =6+24+24</t>
  </si>
  <si>
    <t xml:space="preserve"> = 1+3+5</t>
  </si>
  <si>
    <t xml:space="preserve"> =20+24+24</t>
  </si>
  <si>
    <t xml:space="preserve"> = 7+9+16</t>
  </si>
  <si>
    <t xml:space="preserve"> = 18+19+23</t>
  </si>
  <si>
    <t xml:space="preserve"> =2+24+24</t>
  </si>
  <si>
    <t xml:space="preserve"> 12:07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</si>
</sst>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0" fillId="0" borderId="0" xfId="0" applyNumberFormat="1" applyFill="1"/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0" xfId="0" applyFont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1" xfId="0" applyFill="1" applyBorder="1"/>
    <xf numFmtId="0" fontId="1" fillId="2" borderId="0" xfId="0" applyFont="1" applyFill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2" borderId="1" xfId="0" applyFont="1" applyFill="1" applyBorder="1"/>
    <xf numFmtId="0" fontId="1" fillId="0" borderId="1" xfId="0" applyFont="1" applyBorder="1"/>
    <xf numFmtId="0" fontId="3" fillId="0" borderId="1" xfId="0" applyFont="1" applyFill="1" applyBorder="1"/>
    <xf numFmtId="0" fontId="1" fillId="0" borderId="1" xfId="0" applyFont="1" applyBorder="1" applyAlignment="1">
      <alignment horizontal="right"/>
    </xf>
    <xf numFmtId="0" fontId="0" fillId="0" borderId="1" xfId="0" applyFont="1" applyFill="1" applyBorder="1"/>
    <xf numFmtId="0" fontId="3" fillId="0" borderId="1" xfId="0" applyFont="1" applyBorder="1"/>
    <xf numFmtId="0" fontId="0" fillId="0" borderId="1" xfId="0" applyFill="1" applyBorder="1" applyAlignment="1">
      <alignment horizontal="left" vertic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/>
    <xf numFmtId="0" fontId="4" fillId="0" borderId="1" xfId="0" applyFont="1" applyFill="1" applyBorder="1"/>
    <xf numFmtId="0" fontId="0" fillId="0" borderId="0" xfId="0" applyBorder="1"/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Fill="1" applyBorder="1" applyAlignment="1">
      <alignment horizontal="right"/>
    </xf>
    <xf numFmtId="0" fontId="4" fillId="0" borderId="1" xfId="0" applyFont="1" applyBorder="1"/>
    <xf numFmtId="0" fontId="0" fillId="0" borderId="0" xfId="0" applyFill="1" applyBorder="1" applyAlignment="1">
      <alignment horizontal="left" vertical="center"/>
    </xf>
    <xf numFmtId="0" fontId="3" fillId="0" borderId="0" xfId="0" applyFont="1" applyBorder="1"/>
    <xf numFmtId="0" fontId="0" fillId="2" borderId="1" xfId="0" applyFont="1" applyFill="1" applyBorder="1" applyAlignment="1">
      <alignment horizontal="right"/>
    </xf>
    <xf numFmtId="20" fontId="0" fillId="0" borderId="0" xfId="0" applyNumberFormat="1" applyFont="1"/>
    <xf numFmtId="20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20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5" fillId="0" borderId="2" xfId="0" applyFont="1" applyBorder="1"/>
    <xf numFmtId="0" fontId="3" fillId="0" borderId="2" xfId="0" applyFont="1" applyBorder="1"/>
    <xf numFmtId="0" fontId="6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 applyFill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Border="1"/>
    <xf numFmtId="0" fontId="1" fillId="2" borderId="0" xfId="0" applyFont="1" applyFill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20" fontId="0" fillId="2" borderId="0" xfId="0" applyNumberFormat="1" applyFont="1" applyFill="1"/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 vertical="center"/>
    </xf>
    <xf numFmtId="20" fontId="0" fillId="2" borderId="0" xfId="0" applyNumberFormat="1" applyFill="1"/>
    <xf numFmtId="0" fontId="0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1" fillId="3" borderId="0" xfId="0" applyFont="1" applyFill="1"/>
    <xf numFmtId="20" fontId="0" fillId="3" borderId="0" xfId="0" applyNumberFormat="1" applyFill="1"/>
    <xf numFmtId="0" fontId="0" fillId="3" borderId="0" xfId="0" applyFill="1" applyAlignment="1">
      <alignment horizontal="center" vertical="center"/>
    </xf>
    <xf numFmtId="20" fontId="0" fillId="3" borderId="0" xfId="0" applyNumberFormat="1" applyFill="1" applyAlignment="1">
      <alignment horizontal="center" vertical="center"/>
    </xf>
    <xf numFmtId="20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right"/>
    </xf>
    <xf numFmtId="0" fontId="1" fillId="3" borderId="0" xfId="0" applyFont="1" applyFill="1" applyAlignment="1">
      <alignment horizontal="right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0" fillId="3" borderId="1" xfId="0" applyFill="1" applyBorder="1" applyAlignment="1">
      <alignment horizontal="center"/>
    </xf>
    <xf numFmtId="0" fontId="6" fillId="3" borderId="1" xfId="0" applyFont="1" applyFill="1" applyBorder="1"/>
    <xf numFmtId="0" fontId="0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0" fillId="3" borderId="0" xfId="0" applyFill="1" applyAlignment="1">
      <alignment horizontal="left" vertical="center"/>
    </xf>
    <xf numFmtId="0" fontId="0" fillId="3" borderId="0" xfId="0" applyFont="1" applyFill="1" applyAlignment="1">
      <alignment horizontal="right" vertical="center"/>
    </xf>
    <xf numFmtId="20" fontId="0" fillId="3" borderId="0" xfId="0" applyNumberFormat="1" applyFont="1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0" fillId="3" borderId="1" xfId="0" applyFont="1" applyFill="1" applyBorder="1" applyAlignment="1">
      <alignment horizontal="right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3" borderId="1" xfId="0" applyFont="1" applyFill="1" applyBorder="1"/>
    <xf numFmtId="0" fontId="0" fillId="3" borderId="0" xfId="0" applyFill="1" applyAlignment="1">
      <alignment horizontal="right" vertical="center"/>
    </xf>
    <xf numFmtId="0" fontId="0" fillId="3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topLeftCell="A75" zoomScale="80" zoomScaleNormal="80" workbookViewId="0">
      <selection activeCell="S13" sqref="S13"/>
    </sheetView>
  </sheetViews>
  <sheetFormatPr defaultRowHeight="15"/>
  <cols>
    <col min="1" max="1" width="10.85546875" customWidth="1"/>
    <col min="2" max="2" width="17" customWidth="1"/>
    <col min="3" max="3" width="18" bestFit="1" customWidth="1"/>
    <col min="4" max="4" width="6.5703125" style="43" customWidth="1"/>
    <col min="5" max="5" width="4.5703125" customWidth="1"/>
    <col min="6" max="6" width="8.42578125" style="51" customWidth="1"/>
    <col min="7" max="7" width="6" customWidth="1"/>
    <col min="8" max="8" width="7.140625" customWidth="1"/>
    <col min="9" max="9" width="6.85546875" customWidth="1"/>
    <col min="10" max="10" width="7.28515625" customWidth="1"/>
    <col min="11" max="11" width="8.28515625" style="95" customWidth="1"/>
    <col min="12" max="12" width="8.42578125" bestFit="1" customWidth="1"/>
    <col min="13" max="13" width="5.85546875" customWidth="1"/>
    <col min="14" max="14" width="0.140625" hidden="1" customWidth="1"/>
    <col min="15" max="15" width="0.28515625" hidden="1" customWidth="1"/>
    <col min="16" max="16" width="5.7109375" hidden="1" customWidth="1"/>
    <col min="17" max="17" width="7.7109375" customWidth="1"/>
    <col min="18" max="18" width="18.85546875" customWidth="1"/>
    <col min="21" max="21" width="17.85546875" bestFit="1" customWidth="1"/>
    <col min="22" max="22" width="12.28515625" bestFit="1" customWidth="1"/>
    <col min="24" max="24" width="8.28515625" customWidth="1"/>
  </cols>
  <sheetData>
    <row r="1" spans="1:22">
      <c r="A1" s="45" t="s">
        <v>144</v>
      </c>
      <c r="B1" s="45"/>
      <c r="C1" s="49" t="s">
        <v>3</v>
      </c>
    </row>
    <row r="2" spans="1:22">
      <c r="T2" s="36"/>
      <c r="U2" s="36"/>
      <c r="V2" s="36"/>
    </row>
    <row r="3" spans="1:22" s="1" customFormat="1">
      <c r="A3" s="163" t="s">
        <v>12</v>
      </c>
      <c r="B3" s="163" t="s">
        <v>13</v>
      </c>
      <c r="C3" s="163" t="s">
        <v>0</v>
      </c>
      <c r="D3" s="164" t="s">
        <v>1</v>
      </c>
      <c r="E3" s="162" t="s">
        <v>97</v>
      </c>
      <c r="F3" s="163"/>
      <c r="G3" s="163"/>
      <c r="H3" s="162" t="s">
        <v>98</v>
      </c>
      <c r="I3" s="163"/>
      <c r="J3" s="163"/>
      <c r="K3" s="162" t="s">
        <v>99</v>
      </c>
      <c r="L3" s="163"/>
      <c r="M3" s="163"/>
      <c r="N3" s="162" t="s">
        <v>448</v>
      </c>
      <c r="O3" s="163"/>
      <c r="P3" s="163"/>
      <c r="Q3" s="163" t="s">
        <v>2</v>
      </c>
      <c r="T3" s="36"/>
      <c r="U3" s="36"/>
      <c r="V3" s="36"/>
    </row>
    <row r="4" spans="1:22" s="1" customFormat="1">
      <c r="A4" s="163"/>
      <c r="B4" s="163"/>
      <c r="C4" s="163"/>
      <c r="D4" s="164"/>
      <c r="E4" s="3" t="s">
        <v>6</v>
      </c>
      <c r="F4" s="54" t="s">
        <v>22</v>
      </c>
      <c r="G4" s="3" t="s">
        <v>7</v>
      </c>
      <c r="H4" s="3" t="s">
        <v>6</v>
      </c>
      <c r="I4" s="3" t="s">
        <v>22</v>
      </c>
      <c r="J4" s="3" t="s">
        <v>7</v>
      </c>
      <c r="K4" s="101" t="s">
        <v>6</v>
      </c>
      <c r="L4" s="3" t="s">
        <v>22</v>
      </c>
      <c r="M4" s="3" t="s">
        <v>7</v>
      </c>
      <c r="N4" s="3" t="s">
        <v>6</v>
      </c>
      <c r="O4" s="3" t="s">
        <v>22</v>
      </c>
      <c r="P4" s="3" t="s">
        <v>7</v>
      </c>
      <c r="Q4" s="163"/>
      <c r="T4" s="36"/>
      <c r="U4" s="36"/>
      <c r="V4" s="36"/>
    </row>
    <row r="5" spans="1:22" s="36" customFormat="1">
      <c r="A5" s="125" t="s">
        <v>53</v>
      </c>
      <c r="B5" s="125" t="s">
        <v>54</v>
      </c>
      <c r="C5" s="125" t="s">
        <v>36</v>
      </c>
      <c r="D5" s="126" t="s">
        <v>8</v>
      </c>
      <c r="E5" s="125">
        <v>3</v>
      </c>
      <c r="F5" s="127">
        <v>3</v>
      </c>
      <c r="G5" s="128">
        <v>0.4597222222222222</v>
      </c>
      <c r="H5" s="129">
        <v>2</v>
      </c>
      <c r="I5" s="129">
        <v>2</v>
      </c>
      <c r="J5" s="130">
        <v>0.42499999999999999</v>
      </c>
      <c r="K5" s="129">
        <v>1</v>
      </c>
      <c r="L5" s="129">
        <v>1</v>
      </c>
      <c r="M5" s="131">
        <v>0.43055555555555558</v>
      </c>
      <c r="N5" s="125"/>
      <c r="O5" s="125"/>
      <c r="P5" s="128"/>
      <c r="Q5" s="125">
        <f t="shared" ref="Q5" si="0">F5+I5+L5+O5</f>
        <v>6</v>
      </c>
    </row>
    <row r="6" spans="1:22" s="51" customFormat="1">
      <c r="A6" s="125" t="s">
        <v>24</v>
      </c>
      <c r="B6" s="125" t="s">
        <v>54</v>
      </c>
      <c r="C6" s="125" t="s">
        <v>36</v>
      </c>
      <c r="D6" s="132" t="s">
        <v>8</v>
      </c>
      <c r="E6" s="125">
        <v>1</v>
      </c>
      <c r="F6" s="127">
        <v>1</v>
      </c>
      <c r="G6" s="128">
        <v>0.4368055555555555</v>
      </c>
      <c r="H6" s="129">
        <v>3</v>
      </c>
      <c r="I6" s="129">
        <v>3</v>
      </c>
      <c r="J6" s="130">
        <v>0.43333333333333335</v>
      </c>
      <c r="K6" s="129">
        <v>2</v>
      </c>
      <c r="L6" s="129">
        <v>2</v>
      </c>
      <c r="M6" s="130">
        <v>0.43263888888888885</v>
      </c>
      <c r="N6" s="125"/>
      <c r="O6" s="125"/>
      <c r="P6" s="128"/>
      <c r="Q6" s="125">
        <f t="shared" ref="Q6:Q37" si="1">F6+I6+L6+O6</f>
        <v>6</v>
      </c>
    </row>
    <row r="7" spans="1:22" s="36" customFormat="1">
      <c r="A7" s="145" t="s">
        <v>66</v>
      </c>
      <c r="B7" s="145" t="s">
        <v>692</v>
      </c>
      <c r="C7" s="145" t="s">
        <v>40</v>
      </c>
      <c r="D7" s="160" t="s">
        <v>8</v>
      </c>
      <c r="E7" s="160">
        <v>9</v>
      </c>
      <c r="F7" s="127">
        <v>8</v>
      </c>
      <c r="G7" s="128">
        <v>0.48819444444444443</v>
      </c>
      <c r="H7" s="129">
        <v>8</v>
      </c>
      <c r="I7" s="129">
        <v>7</v>
      </c>
      <c r="J7" s="130">
        <v>0.46319444444444446</v>
      </c>
      <c r="K7" s="148">
        <v>10</v>
      </c>
      <c r="L7" s="129">
        <v>8</v>
      </c>
      <c r="M7" s="131">
        <v>0.48194444444444445</v>
      </c>
      <c r="N7" s="125"/>
      <c r="O7" s="125"/>
      <c r="P7" s="128"/>
      <c r="Q7" s="125">
        <f t="shared" si="1"/>
        <v>23</v>
      </c>
    </row>
    <row r="8" spans="1:22" s="51" customFormat="1">
      <c r="A8" s="51" t="s">
        <v>19</v>
      </c>
      <c r="B8" s="51" t="s">
        <v>94</v>
      </c>
      <c r="C8" s="51" t="s">
        <v>36</v>
      </c>
      <c r="D8" s="44" t="s">
        <v>8</v>
      </c>
      <c r="E8" s="51">
        <v>12</v>
      </c>
      <c r="F8" s="53">
        <v>11</v>
      </c>
      <c r="G8" s="6">
        <v>0.48958333333333331</v>
      </c>
      <c r="H8" s="52">
        <v>11</v>
      </c>
      <c r="I8" s="52">
        <v>10</v>
      </c>
      <c r="J8" s="38">
        <v>0.46597222222222223</v>
      </c>
      <c r="K8" s="52">
        <v>6</v>
      </c>
      <c r="L8" s="52">
        <v>5</v>
      </c>
      <c r="M8" s="104">
        <v>0.46666666666666662</v>
      </c>
      <c r="P8" s="4"/>
      <c r="Q8" s="51">
        <f t="shared" si="1"/>
        <v>26</v>
      </c>
    </row>
    <row r="9" spans="1:22" s="51" customFormat="1">
      <c r="A9" s="39" t="s">
        <v>30</v>
      </c>
      <c r="B9" s="39" t="s">
        <v>257</v>
      </c>
      <c r="C9" s="39" t="s">
        <v>11</v>
      </c>
      <c r="D9" s="41" t="s">
        <v>8</v>
      </c>
      <c r="E9" s="41">
        <v>10</v>
      </c>
      <c r="F9" s="53">
        <v>9</v>
      </c>
      <c r="G9" s="6">
        <v>0.48888888888888887</v>
      </c>
      <c r="H9" s="52">
        <v>20</v>
      </c>
      <c r="I9" s="52">
        <v>17</v>
      </c>
      <c r="J9" s="38">
        <v>0.48055555555555557</v>
      </c>
      <c r="K9" s="93">
        <v>9</v>
      </c>
      <c r="L9" s="52">
        <v>7</v>
      </c>
      <c r="M9" s="104">
        <v>0.4777777777777778</v>
      </c>
      <c r="P9" s="4"/>
      <c r="Q9" s="51">
        <f t="shared" si="1"/>
        <v>33</v>
      </c>
    </row>
    <row r="10" spans="1:22" s="36" customFormat="1">
      <c r="A10" s="51" t="s">
        <v>53</v>
      </c>
      <c r="B10" s="51" t="s">
        <v>93</v>
      </c>
      <c r="C10" s="51" t="s">
        <v>36</v>
      </c>
      <c r="D10" s="44" t="s">
        <v>8</v>
      </c>
      <c r="E10" s="51">
        <v>11</v>
      </c>
      <c r="F10" s="53">
        <v>10</v>
      </c>
      <c r="G10" s="6">
        <v>0.48888888888888887</v>
      </c>
      <c r="H10" s="52">
        <v>16</v>
      </c>
      <c r="I10" s="52">
        <v>13</v>
      </c>
      <c r="J10" s="38">
        <v>0.47569444444444442</v>
      </c>
      <c r="K10" s="52">
        <v>17</v>
      </c>
      <c r="L10" s="52">
        <v>15</v>
      </c>
      <c r="M10" s="104">
        <v>0.5</v>
      </c>
      <c r="P10" s="4"/>
      <c r="Q10" s="36">
        <f t="shared" si="1"/>
        <v>38</v>
      </c>
    </row>
    <row r="11" spans="1:22" s="51" customFormat="1">
      <c r="A11" s="51" t="s">
        <v>183</v>
      </c>
      <c r="B11" s="51" t="s">
        <v>184</v>
      </c>
      <c r="C11" s="55" t="s">
        <v>23</v>
      </c>
      <c r="D11" s="44" t="s">
        <v>8</v>
      </c>
      <c r="E11" s="51">
        <v>4</v>
      </c>
      <c r="F11" s="53">
        <v>4</v>
      </c>
      <c r="G11" s="6">
        <v>0.46319444444444446</v>
      </c>
      <c r="H11" s="52">
        <v>4</v>
      </c>
      <c r="I11" s="52">
        <v>4</v>
      </c>
      <c r="J11" s="38">
        <v>0.44791666666666669</v>
      </c>
      <c r="K11" s="93"/>
      <c r="L11" s="52">
        <v>38</v>
      </c>
      <c r="M11" s="4"/>
      <c r="P11" s="4"/>
      <c r="Q11" s="51">
        <f t="shared" si="1"/>
        <v>46</v>
      </c>
    </row>
    <row r="12" spans="1:22" s="36" customFormat="1">
      <c r="A12" s="51" t="s">
        <v>479</v>
      </c>
      <c r="B12" s="51" t="s">
        <v>512</v>
      </c>
      <c r="C12" s="55" t="s">
        <v>23</v>
      </c>
      <c r="D12" s="44" t="s">
        <v>8</v>
      </c>
      <c r="E12" s="51">
        <v>6</v>
      </c>
      <c r="F12" s="53">
        <v>6</v>
      </c>
      <c r="G12" s="6">
        <v>0.47222222222222227</v>
      </c>
      <c r="H12" s="52">
        <v>5</v>
      </c>
      <c r="I12" s="52">
        <v>5</v>
      </c>
      <c r="J12" s="38">
        <v>0.4513888888888889</v>
      </c>
      <c r="K12" s="93"/>
      <c r="L12" s="52">
        <v>38</v>
      </c>
      <c r="M12" s="4"/>
      <c r="P12" s="4"/>
      <c r="Q12" s="36">
        <f t="shared" si="1"/>
        <v>49</v>
      </c>
    </row>
    <row r="13" spans="1:22" s="36" customFormat="1">
      <c r="A13" s="39" t="s">
        <v>28</v>
      </c>
      <c r="B13" s="39" t="s">
        <v>190</v>
      </c>
      <c r="C13" s="55" t="s">
        <v>23</v>
      </c>
      <c r="D13" s="44" t="s">
        <v>8</v>
      </c>
      <c r="E13" s="42">
        <v>20</v>
      </c>
      <c r="F13" s="53">
        <v>14</v>
      </c>
      <c r="G13" s="6">
        <v>0.49861111111111112</v>
      </c>
      <c r="H13" s="52">
        <v>31</v>
      </c>
      <c r="I13" s="52">
        <v>28</v>
      </c>
      <c r="J13" s="38">
        <v>0.4916666666666667</v>
      </c>
      <c r="K13" s="93">
        <v>11</v>
      </c>
      <c r="L13" s="52">
        <v>9</v>
      </c>
      <c r="M13" s="104">
        <v>0.48472222222222222</v>
      </c>
      <c r="P13" s="4"/>
      <c r="Q13" s="51">
        <f t="shared" si="1"/>
        <v>51</v>
      </c>
    </row>
    <row r="14" spans="1:22" s="51" customFormat="1">
      <c r="A14" s="39" t="s">
        <v>223</v>
      </c>
      <c r="B14" s="39" t="s">
        <v>224</v>
      </c>
      <c r="C14" s="39" t="s">
        <v>40</v>
      </c>
      <c r="D14" s="41" t="s">
        <v>8</v>
      </c>
      <c r="E14" s="41">
        <v>24</v>
      </c>
      <c r="F14" s="53">
        <v>20</v>
      </c>
      <c r="G14" s="6">
        <v>0.50486111111111109</v>
      </c>
      <c r="H14" s="52">
        <v>24</v>
      </c>
      <c r="I14" s="52">
        <v>21</v>
      </c>
      <c r="J14" s="38">
        <v>0.48333333333333334</v>
      </c>
      <c r="K14" s="93">
        <v>13</v>
      </c>
      <c r="L14" s="52">
        <v>11</v>
      </c>
      <c r="M14" s="104">
        <v>0.49236111111111108</v>
      </c>
      <c r="P14" s="4"/>
      <c r="Q14" s="51">
        <f t="shared" si="1"/>
        <v>52</v>
      </c>
    </row>
    <row r="15" spans="1:22" s="51" customFormat="1">
      <c r="A15" s="56" t="s">
        <v>165</v>
      </c>
      <c r="B15" s="56" t="s">
        <v>166</v>
      </c>
      <c r="C15" s="55" t="s">
        <v>15</v>
      </c>
      <c r="D15" s="44" t="s">
        <v>8</v>
      </c>
      <c r="E15" s="51">
        <v>25</v>
      </c>
      <c r="F15" s="53">
        <v>21</v>
      </c>
      <c r="G15" s="6">
        <v>0.50555555555555554</v>
      </c>
      <c r="H15" s="52">
        <v>21</v>
      </c>
      <c r="I15" s="52">
        <v>18</v>
      </c>
      <c r="J15" s="38">
        <v>0.48125000000000001</v>
      </c>
      <c r="K15" s="93">
        <v>16</v>
      </c>
      <c r="L15" s="52">
        <v>14</v>
      </c>
      <c r="M15" s="104">
        <v>0.4993055555555555</v>
      </c>
      <c r="P15" s="4"/>
      <c r="Q15" s="51">
        <f t="shared" si="1"/>
        <v>53</v>
      </c>
    </row>
    <row r="16" spans="1:22" s="36" customFormat="1">
      <c r="A16" s="56" t="s">
        <v>157</v>
      </c>
      <c r="B16" s="56" t="s">
        <v>164</v>
      </c>
      <c r="C16" s="55" t="s">
        <v>15</v>
      </c>
      <c r="D16" s="44" t="s">
        <v>8</v>
      </c>
      <c r="E16" s="51">
        <v>8</v>
      </c>
      <c r="F16" s="53">
        <v>7</v>
      </c>
      <c r="G16" s="6">
        <v>0.48541666666666666</v>
      </c>
      <c r="H16" s="52">
        <v>9</v>
      </c>
      <c r="I16" s="52">
        <v>8</v>
      </c>
      <c r="J16" s="38">
        <v>0.46458333333333335</v>
      </c>
      <c r="K16" s="93"/>
      <c r="L16" s="52">
        <v>38</v>
      </c>
      <c r="M16" s="4"/>
      <c r="P16" s="4"/>
      <c r="Q16" s="51">
        <f t="shared" si="1"/>
        <v>53</v>
      </c>
    </row>
    <row r="17" spans="1:17" s="36" customFormat="1">
      <c r="A17" s="55" t="s">
        <v>14</v>
      </c>
      <c r="B17" s="55" t="s">
        <v>480</v>
      </c>
      <c r="C17" s="55" t="s">
        <v>23</v>
      </c>
      <c r="D17" s="44" t="s">
        <v>8</v>
      </c>
      <c r="E17" s="51">
        <v>23</v>
      </c>
      <c r="F17" s="53">
        <v>19</v>
      </c>
      <c r="G17" s="6">
        <v>0.50347222222222221</v>
      </c>
      <c r="H17" s="37">
        <v>23</v>
      </c>
      <c r="I17" s="37">
        <v>20</v>
      </c>
      <c r="J17" s="38">
        <v>0.4826388888888889</v>
      </c>
      <c r="K17" s="93">
        <v>20</v>
      </c>
      <c r="L17" s="52">
        <v>18</v>
      </c>
      <c r="M17" s="104">
        <v>0.50208333333333333</v>
      </c>
      <c r="P17" s="4"/>
      <c r="Q17" s="51">
        <f t="shared" si="1"/>
        <v>57</v>
      </c>
    </row>
    <row r="18" spans="1:17" s="36" customFormat="1">
      <c r="A18" s="51" t="s">
        <v>87</v>
      </c>
      <c r="B18" s="51" t="s">
        <v>88</v>
      </c>
      <c r="C18" s="51" t="s">
        <v>36</v>
      </c>
      <c r="D18" s="44" t="s">
        <v>8</v>
      </c>
      <c r="E18" s="51">
        <v>2</v>
      </c>
      <c r="F18" s="53">
        <v>2</v>
      </c>
      <c r="G18" s="6">
        <v>0.44861111111111113</v>
      </c>
      <c r="H18" s="51"/>
      <c r="I18" s="37">
        <v>55</v>
      </c>
      <c r="J18" s="51"/>
      <c r="K18" s="52">
        <v>3</v>
      </c>
      <c r="L18" s="52">
        <v>3</v>
      </c>
      <c r="M18" s="38">
        <v>0.4458333333333333</v>
      </c>
      <c r="P18" s="4"/>
      <c r="Q18" s="51">
        <f t="shared" si="1"/>
        <v>60</v>
      </c>
    </row>
    <row r="19" spans="1:17" s="36" customFormat="1">
      <c r="A19" s="51" t="s">
        <v>171</v>
      </c>
      <c r="B19" s="51" t="s">
        <v>67</v>
      </c>
      <c r="C19" s="55" t="s">
        <v>174</v>
      </c>
      <c r="D19" s="44" t="s">
        <v>8</v>
      </c>
      <c r="E19" s="51">
        <v>27</v>
      </c>
      <c r="F19" s="53">
        <v>23</v>
      </c>
      <c r="G19" s="6">
        <v>0.5083333333333333</v>
      </c>
      <c r="H19" s="37">
        <v>25</v>
      </c>
      <c r="I19" s="37">
        <v>22</v>
      </c>
      <c r="J19" s="38">
        <v>0.48402777777777778</v>
      </c>
      <c r="K19" s="93">
        <v>18</v>
      </c>
      <c r="L19" s="52">
        <v>16</v>
      </c>
      <c r="M19" s="104">
        <v>0.50069444444444444</v>
      </c>
      <c r="P19" s="4"/>
      <c r="Q19" s="51">
        <f t="shared" si="1"/>
        <v>61</v>
      </c>
    </row>
    <row r="20" spans="1:17" s="36" customFormat="1">
      <c r="A20" s="39" t="s">
        <v>259</v>
      </c>
      <c r="B20" s="39" t="s">
        <v>260</v>
      </c>
      <c r="C20" s="39" t="s">
        <v>11</v>
      </c>
      <c r="D20" s="41" t="s">
        <v>8</v>
      </c>
      <c r="E20" s="41">
        <v>33</v>
      </c>
      <c r="F20" s="53">
        <v>28</v>
      </c>
      <c r="G20" s="6">
        <v>0.52083333333333337</v>
      </c>
      <c r="H20" s="37">
        <v>28</v>
      </c>
      <c r="I20" s="37">
        <v>25</v>
      </c>
      <c r="J20" s="38">
        <v>0.48888888888888887</v>
      </c>
      <c r="K20" s="93">
        <v>14</v>
      </c>
      <c r="L20" s="52">
        <v>12</v>
      </c>
      <c r="M20" s="104">
        <v>0.49374999999999997</v>
      </c>
      <c r="P20" s="4"/>
      <c r="Q20" s="51">
        <f t="shared" si="1"/>
        <v>65</v>
      </c>
    </row>
    <row r="21" spans="1:17" s="36" customFormat="1">
      <c r="A21" s="51" t="s">
        <v>141</v>
      </c>
      <c r="B21" s="51" t="s">
        <v>151</v>
      </c>
      <c r="C21" s="39" t="s">
        <v>36</v>
      </c>
      <c r="D21" s="44" t="s">
        <v>8</v>
      </c>
      <c r="E21" s="51">
        <v>5</v>
      </c>
      <c r="F21" s="53">
        <v>5</v>
      </c>
      <c r="G21" s="6">
        <v>0.47152777777777777</v>
      </c>
      <c r="H21" s="51"/>
      <c r="I21" s="37">
        <v>55</v>
      </c>
      <c r="J21" s="51"/>
      <c r="K21" s="52">
        <v>8</v>
      </c>
      <c r="L21" s="52">
        <v>6</v>
      </c>
      <c r="M21" s="38">
        <v>0.46249999999999997</v>
      </c>
      <c r="P21" s="4"/>
      <c r="Q21" s="51">
        <f t="shared" si="1"/>
        <v>66</v>
      </c>
    </row>
    <row r="22" spans="1:17" s="36" customFormat="1">
      <c r="A22" s="51" t="s">
        <v>187</v>
      </c>
      <c r="B22" s="51" t="s">
        <v>188</v>
      </c>
      <c r="C22" s="55" t="s">
        <v>23</v>
      </c>
      <c r="D22" s="44" t="s">
        <v>8</v>
      </c>
      <c r="E22" s="51">
        <v>13</v>
      </c>
      <c r="F22" s="53">
        <v>12</v>
      </c>
      <c r="G22" s="6">
        <v>0.4916666666666667</v>
      </c>
      <c r="H22" s="37">
        <v>19</v>
      </c>
      <c r="I22" s="37">
        <v>16</v>
      </c>
      <c r="J22" s="38">
        <v>0.47986111111111113</v>
      </c>
      <c r="K22" s="93"/>
      <c r="L22" s="52">
        <v>38</v>
      </c>
      <c r="M22" s="4"/>
      <c r="P22" s="4"/>
      <c r="Q22" s="51">
        <f t="shared" si="1"/>
        <v>66</v>
      </c>
    </row>
    <row r="23" spans="1:17" s="36" customFormat="1">
      <c r="A23" s="39" t="s">
        <v>91</v>
      </c>
      <c r="B23" s="39" t="s">
        <v>262</v>
      </c>
      <c r="C23" s="39" t="s">
        <v>11</v>
      </c>
      <c r="D23" s="41" t="s">
        <v>8</v>
      </c>
      <c r="E23" s="41">
        <v>30</v>
      </c>
      <c r="F23" s="53">
        <v>25</v>
      </c>
      <c r="G23" s="6">
        <v>0.51458333333333328</v>
      </c>
      <c r="H23" s="37">
        <v>39</v>
      </c>
      <c r="I23" s="37">
        <v>33</v>
      </c>
      <c r="J23" s="38">
        <v>0.50486111111111109</v>
      </c>
      <c r="K23" s="93">
        <v>12</v>
      </c>
      <c r="L23" s="52">
        <v>10</v>
      </c>
      <c r="M23" s="104">
        <v>0.48541666666666666</v>
      </c>
      <c r="P23" s="4"/>
      <c r="Q23" s="51">
        <f t="shared" si="1"/>
        <v>68</v>
      </c>
    </row>
    <row r="24" spans="1:17" s="36" customFormat="1">
      <c r="A24" s="51" t="s">
        <v>19</v>
      </c>
      <c r="B24" s="51" t="s">
        <v>178</v>
      </c>
      <c r="C24" s="55" t="s">
        <v>174</v>
      </c>
      <c r="D24" s="44" t="s">
        <v>8</v>
      </c>
      <c r="E24" s="51">
        <v>22</v>
      </c>
      <c r="F24" s="53">
        <v>18</v>
      </c>
      <c r="G24" s="6">
        <v>0.50069444444444444</v>
      </c>
      <c r="H24" s="37">
        <v>17</v>
      </c>
      <c r="I24" s="37">
        <v>14</v>
      </c>
      <c r="J24" s="38">
        <v>0.4777777777777778</v>
      </c>
      <c r="K24" s="93"/>
      <c r="L24" s="52">
        <v>38</v>
      </c>
      <c r="M24" s="4"/>
      <c r="P24" s="4"/>
      <c r="Q24" s="51">
        <f t="shared" si="1"/>
        <v>70</v>
      </c>
    </row>
    <row r="25" spans="1:17" s="51" customFormat="1">
      <c r="A25" s="39" t="s">
        <v>62</v>
      </c>
      <c r="B25" s="39" t="s">
        <v>262</v>
      </c>
      <c r="C25" s="39" t="s">
        <v>11</v>
      </c>
      <c r="D25" s="41" t="s">
        <v>8</v>
      </c>
      <c r="E25" s="41">
        <v>29</v>
      </c>
      <c r="F25" s="53">
        <v>24</v>
      </c>
      <c r="G25" s="6">
        <v>0.51250000000000007</v>
      </c>
      <c r="H25" s="52">
        <v>18</v>
      </c>
      <c r="I25" s="52">
        <v>15</v>
      </c>
      <c r="J25" s="38">
        <v>0.47916666666666669</v>
      </c>
      <c r="K25" s="93">
        <v>46</v>
      </c>
      <c r="L25" s="52">
        <v>34</v>
      </c>
      <c r="M25" s="104">
        <v>0.56805555555555554</v>
      </c>
      <c r="P25" s="4"/>
      <c r="Q25" s="51">
        <f t="shared" si="1"/>
        <v>73</v>
      </c>
    </row>
    <row r="26" spans="1:17" s="36" customFormat="1">
      <c r="A26" s="51" t="s">
        <v>168</v>
      </c>
      <c r="B26" s="51" t="s">
        <v>549</v>
      </c>
      <c r="C26" s="51" t="s">
        <v>36</v>
      </c>
      <c r="D26" s="44" t="s">
        <v>8</v>
      </c>
      <c r="E26" s="51"/>
      <c r="F26" s="53">
        <v>60</v>
      </c>
      <c r="G26" s="6"/>
      <c r="H26" s="37">
        <v>12</v>
      </c>
      <c r="I26" s="37">
        <v>11</v>
      </c>
      <c r="J26" s="38">
        <v>0.4680555555555555</v>
      </c>
      <c r="K26" s="52">
        <v>4</v>
      </c>
      <c r="L26" s="52">
        <v>4</v>
      </c>
      <c r="M26" s="104">
        <v>0.46111111111111108</v>
      </c>
      <c r="P26" s="4"/>
      <c r="Q26" s="51">
        <f t="shared" si="1"/>
        <v>75</v>
      </c>
    </row>
    <row r="27" spans="1:17" s="36" customFormat="1">
      <c r="A27" s="51" t="s">
        <v>684</v>
      </c>
      <c r="B27" s="51" t="s">
        <v>173</v>
      </c>
      <c r="C27" s="55" t="s">
        <v>174</v>
      </c>
      <c r="D27" s="44" t="s">
        <v>8</v>
      </c>
      <c r="E27" s="51">
        <v>15</v>
      </c>
      <c r="F27" s="53">
        <v>14</v>
      </c>
      <c r="G27" s="6">
        <v>0.49236111111111108</v>
      </c>
      <c r="H27" s="37">
        <v>27</v>
      </c>
      <c r="I27" s="37">
        <v>24</v>
      </c>
      <c r="J27" s="38">
        <v>0.48749999999999999</v>
      </c>
      <c r="K27" s="93"/>
      <c r="L27" s="52">
        <v>38</v>
      </c>
      <c r="M27" s="4"/>
      <c r="P27" s="4"/>
      <c r="Q27" s="51">
        <f t="shared" si="1"/>
        <v>76</v>
      </c>
    </row>
    <row r="28" spans="1:17" s="36" customFormat="1">
      <c r="A28" s="51" t="s">
        <v>181</v>
      </c>
      <c r="B28" s="51" t="s">
        <v>182</v>
      </c>
      <c r="C28" s="55" t="s">
        <v>174</v>
      </c>
      <c r="D28" s="44" t="s">
        <v>8</v>
      </c>
      <c r="E28" s="51">
        <v>38</v>
      </c>
      <c r="F28" s="53">
        <v>32</v>
      </c>
      <c r="G28" s="6">
        <v>0.52986111111111112</v>
      </c>
      <c r="H28" s="37">
        <v>29</v>
      </c>
      <c r="I28" s="37">
        <v>26</v>
      </c>
      <c r="J28" s="38">
        <v>0.48958333333333331</v>
      </c>
      <c r="K28" s="93">
        <v>26</v>
      </c>
      <c r="L28" s="52">
        <v>22</v>
      </c>
      <c r="M28" s="104">
        <v>0.51388888888888895</v>
      </c>
      <c r="P28" s="4"/>
      <c r="Q28" s="51">
        <f t="shared" si="1"/>
        <v>80</v>
      </c>
    </row>
    <row r="29" spans="1:17" s="51" customFormat="1">
      <c r="A29" s="51" t="s">
        <v>152</v>
      </c>
      <c r="B29" s="51" t="s">
        <v>153</v>
      </c>
      <c r="C29" s="51" t="s">
        <v>36</v>
      </c>
      <c r="D29" s="44" t="s">
        <v>8</v>
      </c>
      <c r="E29" s="51">
        <v>35</v>
      </c>
      <c r="F29" s="53">
        <v>30</v>
      </c>
      <c r="G29" s="6">
        <v>0.52222222222222225</v>
      </c>
      <c r="H29" s="52">
        <v>45</v>
      </c>
      <c r="I29" s="52">
        <v>36</v>
      </c>
      <c r="J29" s="38">
        <v>0.5131944444444444</v>
      </c>
      <c r="K29" s="93">
        <v>21</v>
      </c>
      <c r="L29" s="52">
        <v>19</v>
      </c>
      <c r="M29" s="104">
        <v>0.50347222222222221</v>
      </c>
      <c r="P29" s="4"/>
      <c r="Q29" s="51">
        <f t="shared" si="1"/>
        <v>85</v>
      </c>
    </row>
    <row r="30" spans="1:17" s="51" customFormat="1">
      <c r="A30" s="51" t="s">
        <v>175</v>
      </c>
      <c r="B30" s="51" t="s">
        <v>542</v>
      </c>
      <c r="C30" s="55" t="s">
        <v>174</v>
      </c>
      <c r="D30" s="44" t="s">
        <v>8</v>
      </c>
      <c r="E30" s="51">
        <v>45</v>
      </c>
      <c r="F30" s="53">
        <v>36</v>
      </c>
      <c r="G30" s="4">
        <v>0.5444444444444444</v>
      </c>
      <c r="H30" s="52">
        <v>47</v>
      </c>
      <c r="I30" s="52">
        <v>37</v>
      </c>
      <c r="J30" s="38">
        <v>0.51597222222222217</v>
      </c>
      <c r="K30" s="93">
        <v>15</v>
      </c>
      <c r="L30" s="52">
        <v>13</v>
      </c>
      <c r="M30" s="104">
        <v>0.49583333333333335</v>
      </c>
      <c r="P30" s="4"/>
      <c r="Q30" s="51">
        <f t="shared" si="1"/>
        <v>86</v>
      </c>
    </row>
    <row r="31" spans="1:17" s="36" customFormat="1">
      <c r="A31" s="51" t="s">
        <v>165</v>
      </c>
      <c r="B31" s="51" t="s">
        <v>95</v>
      </c>
      <c r="C31" s="55" t="s">
        <v>174</v>
      </c>
      <c r="D31" s="44" t="s">
        <v>8</v>
      </c>
      <c r="E31" s="51">
        <v>34</v>
      </c>
      <c r="F31" s="53">
        <v>29</v>
      </c>
      <c r="G31" s="6">
        <v>0.52222222222222225</v>
      </c>
      <c r="H31" s="52">
        <v>48</v>
      </c>
      <c r="I31" s="37">
        <v>38</v>
      </c>
      <c r="J31" s="38">
        <v>0.51736111111111105</v>
      </c>
      <c r="K31" s="93">
        <v>28</v>
      </c>
      <c r="L31" s="52">
        <v>23</v>
      </c>
      <c r="M31" s="104">
        <v>0.51597222222222217</v>
      </c>
      <c r="P31" s="4"/>
      <c r="Q31" s="51">
        <f t="shared" si="1"/>
        <v>90</v>
      </c>
    </row>
    <row r="32" spans="1:17" s="51" customFormat="1">
      <c r="A32" s="51" t="s">
        <v>89</v>
      </c>
      <c r="B32" s="51" t="s">
        <v>90</v>
      </c>
      <c r="C32" s="51" t="s">
        <v>36</v>
      </c>
      <c r="D32" s="44" t="s">
        <v>8</v>
      </c>
      <c r="E32" s="51">
        <v>26</v>
      </c>
      <c r="F32" s="53">
        <v>22</v>
      </c>
      <c r="G32" s="6">
        <v>0.50763888888888886</v>
      </c>
      <c r="H32" s="52">
        <v>34</v>
      </c>
      <c r="I32" s="52">
        <v>30</v>
      </c>
      <c r="J32" s="38">
        <v>0.49861111111111112</v>
      </c>
      <c r="K32" s="93"/>
      <c r="L32" s="52">
        <v>38</v>
      </c>
      <c r="M32" s="4"/>
      <c r="P32" s="4"/>
      <c r="Q32" s="51">
        <f t="shared" si="1"/>
        <v>90</v>
      </c>
    </row>
    <row r="33" spans="1:17" s="51" customFormat="1">
      <c r="A33" s="39" t="s">
        <v>138</v>
      </c>
      <c r="B33" s="39" t="s">
        <v>515</v>
      </c>
      <c r="C33" s="55" t="s">
        <v>23</v>
      </c>
      <c r="D33" s="44" t="s">
        <v>8</v>
      </c>
      <c r="F33" s="53">
        <v>60</v>
      </c>
      <c r="G33" s="6"/>
      <c r="H33" s="52">
        <v>13</v>
      </c>
      <c r="I33" s="52">
        <v>12</v>
      </c>
      <c r="J33" s="38">
        <v>0.47013888888888888</v>
      </c>
      <c r="K33" s="93">
        <v>24</v>
      </c>
      <c r="L33" s="52">
        <v>20</v>
      </c>
      <c r="M33" s="104">
        <v>0.51180555555555551</v>
      </c>
      <c r="P33" s="4"/>
      <c r="Q33" s="51">
        <f t="shared" si="1"/>
        <v>92</v>
      </c>
    </row>
    <row r="34" spans="1:17" s="51" customFormat="1">
      <c r="A34" s="39" t="s">
        <v>252</v>
      </c>
      <c r="B34" s="39" t="s">
        <v>253</v>
      </c>
      <c r="C34" s="39" t="s">
        <v>11</v>
      </c>
      <c r="D34" s="41" t="s">
        <v>8</v>
      </c>
      <c r="E34" s="41">
        <v>48</v>
      </c>
      <c r="F34" s="88">
        <v>38</v>
      </c>
      <c r="G34" s="4">
        <v>0.54861111111111105</v>
      </c>
      <c r="H34" s="52">
        <v>36</v>
      </c>
      <c r="I34" s="52">
        <v>31</v>
      </c>
      <c r="J34" s="38">
        <v>0.50138888888888888</v>
      </c>
      <c r="K34" s="93">
        <v>36</v>
      </c>
      <c r="L34" s="52">
        <v>28</v>
      </c>
      <c r="M34" s="104">
        <v>0.54236111111111118</v>
      </c>
      <c r="P34" s="4"/>
      <c r="Q34" s="51">
        <f t="shared" si="1"/>
        <v>97</v>
      </c>
    </row>
    <row r="35" spans="1:17" s="51" customFormat="1">
      <c r="A35" s="39" t="s">
        <v>547</v>
      </c>
      <c r="B35" s="39" t="s">
        <v>548</v>
      </c>
      <c r="C35" s="51" t="s">
        <v>163</v>
      </c>
      <c r="D35" s="41" t="s">
        <v>8</v>
      </c>
      <c r="E35" s="41"/>
      <c r="F35" s="88">
        <v>60</v>
      </c>
      <c r="G35" s="4"/>
      <c r="H35" s="52">
        <v>1</v>
      </c>
      <c r="I35" s="52">
        <v>1</v>
      </c>
      <c r="J35" s="38">
        <v>0.42499999999999999</v>
      </c>
      <c r="K35" s="52"/>
      <c r="L35" s="52">
        <v>38</v>
      </c>
      <c r="M35" s="38"/>
      <c r="P35" s="4"/>
      <c r="Q35" s="51">
        <f t="shared" si="1"/>
        <v>99</v>
      </c>
    </row>
    <row r="36" spans="1:17" s="51" customFormat="1">
      <c r="A36" s="51" t="s">
        <v>148</v>
      </c>
      <c r="B36" s="51" t="s">
        <v>149</v>
      </c>
      <c r="C36" s="51" t="s">
        <v>36</v>
      </c>
      <c r="D36" s="44" t="s">
        <v>8</v>
      </c>
      <c r="E36" s="51">
        <v>32</v>
      </c>
      <c r="F36" s="53">
        <v>27</v>
      </c>
      <c r="G36" s="6">
        <v>0.52013888888888882</v>
      </c>
      <c r="H36" s="52">
        <v>41</v>
      </c>
      <c r="I36" s="52">
        <v>34</v>
      </c>
      <c r="J36" s="38">
        <v>0.50694444444444442</v>
      </c>
      <c r="K36" s="93"/>
      <c r="L36" s="52">
        <v>38</v>
      </c>
      <c r="M36" s="4"/>
      <c r="P36" s="4"/>
      <c r="Q36" s="51">
        <f t="shared" si="1"/>
        <v>99</v>
      </c>
    </row>
    <row r="37" spans="1:17" s="51" customFormat="1">
      <c r="A37" s="51" t="s">
        <v>124</v>
      </c>
      <c r="B37" s="51" t="s">
        <v>528</v>
      </c>
      <c r="C37" s="51" t="s">
        <v>529</v>
      </c>
      <c r="D37" s="44" t="s">
        <v>8</v>
      </c>
      <c r="F37" s="88">
        <v>60</v>
      </c>
      <c r="G37" s="6"/>
      <c r="H37" s="52">
        <v>6</v>
      </c>
      <c r="I37" s="52">
        <v>6</v>
      </c>
      <c r="J37" s="38">
        <v>0.45277777777777778</v>
      </c>
      <c r="K37" s="52"/>
      <c r="L37" s="52">
        <v>38</v>
      </c>
      <c r="M37" s="38"/>
      <c r="P37" s="4"/>
      <c r="Q37" s="51">
        <f t="shared" si="1"/>
        <v>104</v>
      </c>
    </row>
    <row r="38" spans="1:17" s="36" customFormat="1">
      <c r="A38" s="39" t="s">
        <v>255</v>
      </c>
      <c r="B38" s="39" t="s">
        <v>256</v>
      </c>
      <c r="C38" s="39" t="s">
        <v>11</v>
      </c>
      <c r="D38" s="41" t="s">
        <v>8</v>
      </c>
      <c r="E38" s="41">
        <v>62</v>
      </c>
      <c r="F38" s="88">
        <v>46</v>
      </c>
      <c r="G38" s="4">
        <v>0.56666666666666665</v>
      </c>
      <c r="H38" s="52">
        <v>43</v>
      </c>
      <c r="I38" s="52">
        <v>35</v>
      </c>
      <c r="J38" s="38">
        <v>0.50972222222222219</v>
      </c>
      <c r="K38" s="52">
        <v>31</v>
      </c>
      <c r="L38" s="52">
        <v>24</v>
      </c>
      <c r="M38" s="38">
        <v>0.52777777777777779</v>
      </c>
      <c r="P38" s="4"/>
      <c r="Q38" s="51">
        <f t="shared" ref="Q38:Q69" si="2">F38+I38+L38+O38</f>
        <v>105</v>
      </c>
    </row>
    <row r="39" spans="1:17" s="51" customFormat="1">
      <c r="A39" s="39" t="s">
        <v>221</v>
      </c>
      <c r="B39" s="39" t="s">
        <v>222</v>
      </c>
      <c r="C39" s="39" t="s">
        <v>40</v>
      </c>
      <c r="D39" s="41" t="s">
        <v>8</v>
      </c>
      <c r="E39" s="41">
        <v>14</v>
      </c>
      <c r="F39" s="53">
        <v>13</v>
      </c>
      <c r="G39" s="6">
        <v>0.49236111111111108</v>
      </c>
      <c r="H39" s="52"/>
      <c r="I39" s="52">
        <v>55</v>
      </c>
      <c r="J39" s="38"/>
      <c r="K39" s="93"/>
      <c r="L39" s="52">
        <v>38</v>
      </c>
      <c r="M39" s="4"/>
      <c r="P39" s="4"/>
      <c r="Q39" s="51">
        <f t="shared" si="2"/>
        <v>106</v>
      </c>
    </row>
    <row r="40" spans="1:17" s="36" customFormat="1">
      <c r="A40" s="39" t="s">
        <v>367</v>
      </c>
      <c r="B40" s="39" t="s">
        <v>509</v>
      </c>
      <c r="C40" s="39" t="s">
        <v>40</v>
      </c>
      <c r="D40" s="41" t="s">
        <v>8</v>
      </c>
      <c r="E40" s="41"/>
      <c r="F40" s="53">
        <v>60</v>
      </c>
      <c r="G40" s="6"/>
      <c r="H40" s="52">
        <v>10</v>
      </c>
      <c r="I40" s="52">
        <v>9</v>
      </c>
      <c r="J40" s="38">
        <v>0.46527777777777773</v>
      </c>
      <c r="K40" s="93"/>
      <c r="L40" s="52">
        <v>38</v>
      </c>
      <c r="M40" s="4"/>
      <c r="P40" s="4"/>
      <c r="Q40" s="51">
        <f t="shared" si="2"/>
        <v>107</v>
      </c>
    </row>
    <row r="41" spans="1:17" s="36" customFormat="1">
      <c r="A41" s="39" t="s">
        <v>264</v>
      </c>
      <c r="B41" s="39" t="s">
        <v>67</v>
      </c>
      <c r="C41" s="39" t="s">
        <v>11</v>
      </c>
      <c r="D41" s="41" t="s">
        <v>8</v>
      </c>
      <c r="E41" s="41">
        <v>16</v>
      </c>
      <c r="F41" s="53">
        <v>15</v>
      </c>
      <c r="G41" s="6">
        <v>0.49305555555555558</v>
      </c>
      <c r="H41" s="52"/>
      <c r="I41" s="52">
        <v>55</v>
      </c>
      <c r="J41" s="38"/>
      <c r="K41" s="93"/>
      <c r="L41" s="52">
        <v>38</v>
      </c>
      <c r="M41" s="4"/>
      <c r="P41" s="4"/>
      <c r="Q41" s="51">
        <f t="shared" si="2"/>
        <v>108</v>
      </c>
    </row>
    <row r="42" spans="1:17" s="51" customFormat="1">
      <c r="A42" s="39" t="s">
        <v>137</v>
      </c>
      <c r="B42" s="39" t="s">
        <v>34</v>
      </c>
      <c r="C42" s="39" t="s">
        <v>207</v>
      </c>
      <c r="D42" s="41" t="s">
        <v>8</v>
      </c>
      <c r="E42" s="41">
        <v>17</v>
      </c>
      <c r="F42" s="53">
        <v>16</v>
      </c>
      <c r="G42" s="6">
        <v>0.49305555555555558</v>
      </c>
      <c r="H42" s="52"/>
      <c r="I42" s="52">
        <v>55</v>
      </c>
      <c r="J42" s="38"/>
      <c r="K42" s="93"/>
      <c r="L42" s="52">
        <v>38</v>
      </c>
      <c r="M42" s="4"/>
      <c r="P42" s="4"/>
      <c r="Q42" s="51">
        <f t="shared" si="2"/>
        <v>109</v>
      </c>
    </row>
    <row r="43" spans="1:17" s="51" customFormat="1">
      <c r="A43" s="39" t="s">
        <v>248</v>
      </c>
      <c r="B43" s="39" t="s">
        <v>249</v>
      </c>
      <c r="C43" s="39" t="s">
        <v>11</v>
      </c>
      <c r="D43" s="41" t="s">
        <v>8</v>
      </c>
      <c r="E43" s="41">
        <v>54</v>
      </c>
      <c r="F43" s="88">
        <v>42</v>
      </c>
      <c r="G43" s="4">
        <v>0.55902777777777779</v>
      </c>
      <c r="H43" s="52">
        <v>57</v>
      </c>
      <c r="I43" s="52">
        <v>42</v>
      </c>
      <c r="J43" s="38">
        <v>0.53472222222222221</v>
      </c>
      <c r="K43" s="93">
        <v>38</v>
      </c>
      <c r="L43" s="52">
        <v>30</v>
      </c>
      <c r="M43" s="104">
        <v>0.54791666666666672</v>
      </c>
      <c r="P43" s="4"/>
      <c r="Q43" s="51">
        <f t="shared" si="2"/>
        <v>114</v>
      </c>
    </row>
    <row r="44" spans="1:17" s="51" customFormat="1">
      <c r="A44" s="39" t="s">
        <v>204</v>
      </c>
      <c r="B44" s="39" t="s">
        <v>484</v>
      </c>
      <c r="C44" s="39" t="s">
        <v>11</v>
      </c>
      <c r="D44" s="41" t="s">
        <v>8</v>
      </c>
      <c r="E44" s="41"/>
      <c r="F44" s="53">
        <v>60</v>
      </c>
      <c r="G44" s="6"/>
      <c r="H44" s="52">
        <v>32</v>
      </c>
      <c r="I44" s="52">
        <v>29</v>
      </c>
      <c r="J44" s="38">
        <v>0.49444444444444446</v>
      </c>
      <c r="K44" s="93">
        <v>33</v>
      </c>
      <c r="L44" s="52">
        <v>26</v>
      </c>
      <c r="M44" s="104">
        <v>0.53472222222222221</v>
      </c>
      <c r="P44" s="4"/>
      <c r="Q44" s="51">
        <f t="shared" si="2"/>
        <v>115</v>
      </c>
    </row>
    <row r="45" spans="1:17" s="51" customFormat="1">
      <c r="A45" s="39" t="s">
        <v>525</v>
      </c>
      <c r="B45" s="39" t="s">
        <v>526</v>
      </c>
      <c r="C45" s="39" t="s">
        <v>527</v>
      </c>
      <c r="D45" s="41" t="s">
        <v>8</v>
      </c>
      <c r="E45" s="41"/>
      <c r="F45" s="88">
        <v>60</v>
      </c>
      <c r="G45" s="4"/>
      <c r="H45" s="52">
        <v>22</v>
      </c>
      <c r="I45" s="52">
        <v>19</v>
      </c>
      <c r="J45" s="38">
        <v>0.48194444444444445</v>
      </c>
      <c r="K45" s="52"/>
      <c r="L45" s="52">
        <v>38</v>
      </c>
      <c r="M45" s="38"/>
      <c r="P45" s="4"/>
      <c r="Q45" s="51">
        <f t="shared" si="2"/>
        <v>117</v>
      </c>
    </row>
    <row r="46" spans="1:17" s="51" customFormat="1" ht="12" customHeight="1">
      <c r="A46" s="51" t="s">
        <v>150</v>
      </c>
      <c r="B46" s="51" t="s">
        <v>180</v>
      </c>
      <c r="C46" s="39" t="s">
        <v>174</v>
      </c>
      <c r="D46" s="44" t="s">
        <v>8</v>
      </c>
      <c r="E46" s="51">
        <v>31</v>
      </c>
      <c r="F46" s="53">
        <v>26</v>
      </c>
      <c r="G46" s="6">
        <v>0.51736111111111105</v>
      </c>
      <c r="H46" s="52"/>
      <c r="I46" s="52">
        <v>55</v>
      </c>
      <c r="J46" s="38"/>
      <c r="K46" s="93"/>
      <c r="L46" s="52">
        <v>38</v>
      </c>
      <c r="M46" s="4"/>
      <c r="P46" s="4"/>
      <c r="Q46" s="51">
        <f t="shared" si="2"/>
        <v>119</v>
      </c>
    </row>
    <row r="47" spans="1:17" s="51" customFormat="1">
      <c r="A47" s="39" t="s">
        <v>507</v>
      </c>
      <c r="B47" s="39" t="s">
        <v>508</v>
      </c>
      <c r="C47" s="39" t="s">
        <v>11</v>
      </c>
      <c r="D47" s="41" t="s">
        <v>8</v>
      </c>
      <c r="E47" s="41"/>
      <c r="F47" s="53">
        <v>60</v>
      </c>
      <c r="G47" s="6"/>
      <c r="H47" s="52">
        <v>26</v>
      </c>
      <c r="I47" s="52">
        <v>23</v>
      </c>
      <c r="J47" s="38">
        <v>0.48541666666666666</v>
      </c>
      <c r="K47" s="93"/>
      <c r="L47" s="52">
        <v>38</v>
      </c>
      <c r="M47" s="4"/>
      <c r="P47" s="4"/>
      <c r="Q47" s="51">
        <f t="shared" si="2"/>
        <v>121</v>
      </c>
    </row>
    <row r="48" spans="1:17" s="51" customFormat="1">
      <c r="A48" s="51" t="s">
        <v>159</v>
      </c>
      <c r="B48" s="51" t="s">
        <v>160</v>
      </c>
      <c r="C48" s="39" t="s">
        <v>18</v>
      </c>
      <c r="D48" s="44" t="s">
        <v>8</v>
      </c>
      <c r="E48" s="51">
        <v>36</v>
      </c>
      <c r="F48" s="53">
        <v>31</v>
      </c>
      <c r="G48" s="6">
        <v>0.52430555555555558</v>
      </c>
      <c r="H48" s="52"/>
      <c r="I48" s="52">
        <v>55</v>
      </c>
      <c r="J48" s="38"/>
      <c r="K48" s="93"/>
      <c r="L48" s="52">
        <v>38</v>
      </c>
      <c r="M48" s="4"/>
      <c r="P48" s="4"/>
      <c r="Q48" s="51">
        <f t="shared" si="2"/>
        <v>124</v>
      </c>
    </row>
    <row r="49" spans="1:17" s="51" customFormat="1">
      <c r="A49" s="51" t="s">
        <v>550</v>
      </c>
      <c r="B49" s="51" t="s">
        <v>551</v>
      </c>
      <c r="C49" s="51" t="s">
        <v>36</v>
      </c>
      <c r="D49" s="44" t="s">
        <v>8</v>
      </c>
      <c r="F49" s="53">
        <v>60</v>
      </c>
      <c r="G49" s="6"/>
      <c r="H49" s="93">
        <v>30</v>
      </c>
      <c r="I49" s="52">
        <v>27</v>
      </c>
      <c r="J49" s="38">
        <v>0.4909722222222222</v>
      </c>
      <c r="K49" s="52"/>
      <c r="L49" s="52">
        <v>38</v>
      </c>
      <c r="M49" s="38"/>
      <c r="P49" s="4"/>
      <c r="Q49" s="51">
        <f t="shared" si="2"/>
        <v>125</v>
      </c>
    </row>
    <row r="50" spans="1:17" s="51" customFormat="1">
      <c r="A50" s="39" t="s">
        <v>225</v>
      </c>
      <c r="B50" s="39" t="s">
        <v>488</v>
      </c>
      <c r="C50" s="39" t="s">
        <v>40</v>
      </c>
      <c r="D50" s="41" t="s">
        <v>8</v>
      </c>
      <c r="E50" s="41">
        <v>40</v>
      </c>
      <c r="F50" s="53">
        <v>33</v>
      </c>
      <c r="G50" s="6">
        <v>0.53263888888888888</v>
      </c>
      <c r="H50" s="52"/>
      <c r="I50" s="52">
        <v>55</v>
      </c>
      <c r="J50" s="38"/>
      <c r="K50" s="93"/>
      <c r="L50" s="52">
        <v>38</v>
      </c>
      <c r="M50" s="4"/>
      <c r="P50" s="4"/>
      <c r="Q50" s="51">
        <f t="shared" si="2"/>
        <v>126</v>
      </c>
    </row>
    <row r="51" spans="1:17" s="51" customFormat="1">
      <c r="A51" s="39" t="s">
        <v>137</v>
      </c>
      <c r="B51" s="39" t="s">
        <v>226</v>
      </c>
      <c r="C51" s="39" t="s">
        <v>40</v>
      </c>
      <c r="D51" s="41" t="s">
        <v>8</v>
      </c>
      <c r="E51" s="41">
        <v>41</v>
      </c>
      <c r="F51" s="53">
        <v>34</v>
      </c>
      <c r="G51" s="6">
        <v>0.53333333333333333</v>
      </c>
      <c r="H51" s="52"/>
      <c r="I51" s="52">
        <v>55</v>
      </c>
      <c r="J51" s="38"/>
      <c r="K51" s="93"/>
      <c r="L51" s="52">
        <v>38</v>
      </c>
      <c r="M51" s="4"/>
      <c r="P51" s="4"/>
      <c r="Q51" s="51">
        <f t="shared" si="2"/>
        <v>127</v>
      </c>
    </row>
    <row r="52" spans="1:17" s="51" customFormat="1">
      <c r="A52" s="51" t="s">
        <v>168</v>
      </c>
      <c r="B52" s="51" t="s">
        <v>169</v>
      </c>
      <c r="C52" s="39" t="s">
        <v>15</v>
      </c>
      <c r="D52" s="44" t="s">
        <v>8</v>
      </c>
      <c r="E52" s="51">
        <v>44</v>
      </c>
      <c r="F52" s="53">
        <v>35</v>
      </c>
      <c r="G52" s="4">
        <v>0.5444444444444444</v>
      </c>
      <c r="H52" s="52"/>
      <c r="I52" s="52">
        <v>55</v>
      </c>
      <c r="J52" s="38"/>
      <c r="K52" s="93"/>
      <c r="L52" s="52">
        <v>38</v>
      </c>
      <c r="M52" s="4"/>
      <c r="P52" s="4"/>
      <c r="Q52" s="51">
        <f t="shared" si="2"/>
        <v>128</v>
      </c>
    </row>
    <row r="53" spans="1:17" s="51" customFormat="1">
      <c r="A53" s="39" t="s">
        <v>534</v>
      </c>
      <c r="B53" s="39" t="s">
        <v>535</v>
      </c>
      <c r="C53" s="39" t="s">
        <v>214</v>
      </c>
      <c r="D53" s="41" t="s">
        <v>8</v>
      </c>
      <c r="E53" s="41"/>
      <c r="F53" s="88">
        <v>60</v>
      </c>
      <c r="G53" s="4"/>
      <c r="H53" s="52">
        <v>50</v>
      </c>
      <c r="I53" s="52">
        <v>40</v>
      </c>
      <c r="J53" s="38">
        <v>0.52083333333333337</v>
      </c>
      <c r="K53" s="93">
        <v>37</v>
      </c>
      <c r="L53" s="52">
        <v>29</v>
      </c>
      <c r="M53" s="104">
        <v>0.54583333333333328</v>
      </c>
      <c r="P53" s="4"/>
      <c r="Q53" s="51">
        <f t="shared" si="2"/>
        <v>129</v>
      </c>
    </row>
    <row r="54" spans="1:17" s="36" customFormat="1">
      <c r="A54" s="56" t="s">
        <v>168</v>
      </c>
      <c r="B54" s="56" t="s">
        <v>520</v>
      </c>
      <c r="C54" s="55" t="s">
        <v>15</v>
      </c>
      <c r="D54" s="44" t="s">
        <v>8</v>
      </c>
      <c r="E54" s="51"/>
      <c r="F54" s="53">
        <v>60</v>
      </c>
      <c r="G54" s="6"/>
      <c r="H54" s="37">
        <v>37</v>
      </c>
      <c r="I54" s="37">
        <v>32</v>
      </c>
      <c r="J54" s="38">
        <v>0.50277777777777777</v>
      </c>
      <c r="K54" s="93"/>
      <c r="L54" s="52">
        <v>38</v>
      </c>
      <c r="M54" s="4"/>
      <c r="P54" s="4"/>
      <c r="Q54" s="51">
        <f t="shared" si="2"/>
        <v>130</v>
      </c>
    </row>
    <row r="55" spans="1:17" s="51" customFormat="1">
      <c r="A55" s="51" t="s">
        <v>146</v>
      </c>
      <c r="B55" s="51" t="s">
        <v>147</v>
      </c>
      <c r="C55" s="39" t="s">
        <v>36</v>
      </c>
      <c r="D55" s="44" t="s">
        <v>8</v>
      </c>
      <c r="E55" s="51">
        <v>46</v>
      </c>
      <c r="F55" s="88">
        <v>37</v>
      </c>
      <c r="G55" s="4">
        <v>0.54722222222222217</v>
      </c>
      <c r="H55" s="52"/>
      <c r="I55" s="52">
        <v>55</v>
      </c>
      <c r="J55" s="38"/>
      <c r="K55" s="93"/>
      <c r="L55" s="52">
        <v>38</v>
      </c>
      <c r="M55" s="4"/>
      <c r="P55" s="4"/>
      <c r="Q55" s="51">
        <f t="shared" si="2"/>
        <v>130</v>
      </c>
    </row>
    <row r="56" spans="1:17" s="51" customFormat="1">
      <c r="A56" s="39" t="s">
        <v>159</v>
      </c>
      <c r="B56" s="39" t="s">
        <v>160</v>
      </c>
      <c r="C56" s="39" t="s">
        <v>18</v>
      </c>
      <c r="D56" s="41" t="s">
        <v>8</v>
      </c>
      <c r="E56" s="41"/>
      <c r="F56" s="88">
        <v>60</v>
      </c>
      <c r="G56" s="4"/>
      <c r="H56" s="52"/>
      <c r="I56" s="52">
        <v>55</v>
      </c>
      <c r="J56" s="38"/>
      <c r="K56" s="52">
        <v>19</v>
      </c>
      <c r="L56" s="52">
        <v>17</v>
      </c>
      <c r="M56" s="38">
        <v>0.50138888888888888</v>
      </c>
      <c r="P56" s="4"/>
      <c r="Q56" s="51">
        <f t="shared" si="2"/>
        <v>132</v>
      </c>
    </row>
    <row r="57" spans="1:17" s="51" customFormat="1" ht="10.5" customHeight="1">
      <c r="A57" s="39" t="s">
        <v>71</v>
      </c>
      <c r="B57" s="39" t="s">
        <v>72</v>
      </c>
      <c r="C57" s="39" t="s">
        <v>207</v>
      </c>
      <c r="D57" s="41" t="s">
        <v>8</v>
      </c>
      <c r="E57" s="41">
        <v>49</v>
      </c>
      <c r="F57" s="88">
        <v>39</v>
      </c>
      <c r="G57" s="4">
        <v>0.54999999999999993</v>
      </c>
      <c r="H57" s="52"/>
      <c r="I57" s="52">
        <v>55</v>
      </c>
      <c r="J57" s="38"/>
      <c r="K57" s="93"/>
      <c r="L57" s="52">
        <v>38</v>
      </c>
      <c r="M57" s="4"/>
      <c r="P57" s="4"/>
      <c r="Q57" s="51">
        <f t="shared" si="2"/>
        <v>132</v>
      </c>
    </row>
    <row r="58" spans="1:17" s="51" customFormat="1">
      <c r="A58" s="39" t="s">
        <v>126</v>
      </c>
      <c r="B58" s="39" t="s">
        <v>265</v>
      </c>
      <c r="C58" s="39" t="s">
        <v>11</v>
      </c>
      <c r="D58" s="41" t="s">
        <v>8</v>
      </c>
      <c r="E58" s="41">
        <v>50</v>
      </c>
      <c r="F58" s="88">
        <v>40</v>
      </c>
      <c r="G58" s="4">
        <v>0.55208333333333337</v>
      </c>
      <c r="H58" s="52"/>
      <c r="I58" s="52">
        <v>55</v>
      </c>
      <c r="J58" s="38"/>
      <c r="K58" s="93"/>
      <c r="L58" s="52">
        <v>38</v>
      </c>
      <c r="M58" s="4"/>
      <c r="P58" s="4"/>
      <c r="Q58" s="51">
        <f t="shared" si="2"/>
        <v>133</v>
      </c>
    </row>
    <row r="59" spans="1:17" s="51" customFormat="1">
      <c r="A59" s="39" t="s">
        <v>212</v>
      </c>
      <c r="B59" s="39" t="s">
        <v>213</v>
      </c>
      <c r="C59" s="39" t="s">
        <v>214</v>
      </c>
      <c r="D59" s="41" t="s">
        <v>8</v>
      </c>
      <c r="E59" s="41">
        <v>51</v>
      </c>
      <c r="F59" s="88">
        <v>41</v>
      </c>
      <c r="G59" s="4">
        <v>0.55486111111111114</v>
      </c>
      <c r="H59" s="52"/>
      <c r="I59" s="52">
        <v>55</v>
      </c>
      <c r="J59" s="38"/>
      <c r="K59" s="93"/>
      <c r="L59" s="52">
        <v>38</v>
      </c>
      <c r="M59" s="4"/>
      <c r="P59" s="4"/>
      <c r="Q59" s="51">
        <f t="shared" si="2"/>
        <v>134</v>
      </c>
    </row>
    <row r="60" spans="1:17" s="51" customFormat="1">
      <c r="A60" s="51" t="s">
        <v>19</v>
      </c>
      <c r="B60" s="51" t="s">
        <v>178</v>
      </c>
      <c r="C60" s="55" t="s">
        <v>174</v>
      </c>
      <c r="D60" s="44" t="s">
        <v>8</v>
      </c>
      <c r="F60" s="53">
        <v>60</v>
      </c>
      <c r="G60" s="6"/>
      <c r="H60" s="52"/>
      <c r="I60" s="52">
        <v>55</v>
      </c>
      <c r="J60" s="38"/>
      <c r="K60" s="93">
        <v>25</v>
      </c>
      <c r="L60" s="52">
        <v>21</v>
      </c>
      <c r="M60" s="104">
        <v>0.51250000000000007</v>
      </c>
      <c r="P60" s="4"/>
      <c r="Q60" s="51">
        <f t="shared" si="2"/>
        <v>136</v>
      </c>
    </row>
    <row r="61" spans="1:17" s="51" customFormat="1">
      <c r="A61" s="39" t="s">
        <v>17</v>
      </c>
      <c r="B61" s="39" t="s">
        <v>266</v>
      </c>
      <c r="C61" s="39" t="s">
        <v>11</v>
      </c>
      <c r="D61" s="41" t="s">
        <v>8</v>
      </c>
      <c r="E61" s="41">
        <v>77</v>
      </c>
      <c r="F61" s="88">
        <v>52</v>
      </c>
      <c r="G61" s="4">
        <v>0.59027777777777779</v>
      </c>
      <c r="H61" s="52">
        <v>65</v>
      </c>
      <c r="I61" s="52">
        <v>46</v>
      </c>
      <c r="J61" s="38">
        <v>0.56180555555555556</v>
      </c>
      <c r="K61" s="52"/>
      <c r="L61" s="52">
        <v>38</v>
      </c>
      <c r="M61" s="38"/>
      <c r="P61" s="4"/>
      <c r="Q61" s="51">
        <f t="shared" si="2"/>
        <v>136</v>
      </c>
    </row>
    <row r="62" spans="1:17" s="51" customFormat="1">
      <c r="A62" s="51" t="s">
        <v>30</v>
      </c>
      <c r="B62" s="51" t="s">
        <v>154</v>
      </c>
      <c r="C62" s="39" t="s">
        <v>36</v>
      </c>
      <c r="D62" s="44" t="s">
        <v>8</v>
      </c>
      <c r="E62" s="51">
        <v>55</v>
      </c>
      <c r="F62" s="88">
        <v>43</v>
      </c>
      <c r="G62" s="4">
        <v>0.55972222222222223</v>
      </c>
      <c r="H62" s="52"/>
      <c r="I62" s="52">
        <v>55</v>
      </c>
      <c r="J62" s="38"/>
      <c r="K62" s="93"/>
      <c r="L62" s="52">
        <v>38</v>
      </c>
      <c r="M62" s="4"/>
      <c r="P62" s="4"/>
      <c r="Q62" s="51">
        <f t="shared" si="2"/>
        <v>136</v>
      </c>
    </row>
    <row r="63" spans="1:17" s="51" customFormat="1">
      <c r="A63" s="39" t="s">
        <v>82</v>
      </c>
      <c r="B63" s="39" t="s">
        <v>510</v>
      </c>
      <c r="C63" s="39" t="s">
        <v>40</v>
      </c>
      <c r="D63" s="41" t="s">
        <v>8</v>
      </c>
      <c r="E63" s="41"/>
      <c r="F63" s="53">
        <v>60</v>
      </c>
      <c r="G63" s="6"/>
      <c r="H63" s="52">
        <v>49</v>
      </c>
      <c r="I63" s="52">
        <v>39</v>
      </c>
      <c r="J63" s="38">
        <v>0.52013888888888882</v>
      </c>
      <c r="K63" s="93"/>
      <c r="L63" s="52">
        <v>38</v>
      </c>
      <c r="M63" s="4"/>
      <c r="P63" s="4"/>
      <c r="Q63" s="51">
        <f t="shared" si="2"/>
        <v>137</v>
      </c>
    </row>
    <row r="64" spans="1:17" s="51" customFormat="1">
      <c r="A64" s="39" t="s">
        <v>209</v>
      </c>
      <c r="B64" s="39" t="s">
        <v>210</v>
      </c>
      <c r="C64" s="39" t="s">
        <v>721</v>
      </c>
      <c r="D64" s="41" t="s">
        <v>8</v>
      </c>
      <c r="E64" s="41">
        <v>59</v>
      </c>
      <c r="F64" s="88">
        <v>44</v>
      </c>
      <c r="G64" s="4">
        <v>0.56458333333333333</v>
      </c>
      <c r="H64" s="52"/>
      <c r="I64" s="52">
        <v>55</v>
      </c>
      <c r="J64" s="38"/>
      <c r="K64" s="93"/>
      <c r="L64" s="52">
        <v>38</v>
      </c>
      <c r="M64" s="4"/>
      <c r="P64" s="4"/>
      <c r="Q64" s="51">
        <f t="shared" si="2"/>
        <v>137</v>
      </c>
    </row>
    <row r="65" spans="1:17" s="51" customFormat="1">
      <c r="A65" s="39" t="s">
        <v>157</v>
      </c>
      <c r="B65" s="39" t="s">
        <v>211</v>
      </c>
      <c r="C65" s="39" t="s">
        <v>721</v>
      </c>
      <c r="D65" s="41" t="s">
        <v>8</v>
      </c>
      <c r="E65" s="41">
        <v>61</v>
      </c>
      <c r="F65" s="88">
        <v>45</v>
      </c>
      <c r="G65" s="4">
        <v>0.56458333333333333</v>
      </c>
      <c r="H65" s="52"/>
      <c r="I65" s="52">
        <v>55</v>
      </c>
      <c r="J65" s="38"/>
      <c r="K65" s="93"/>
      <c r="L65" s="52">
        <v>38</v>
      </c>
      <c r="M65" s="4"/>
      <c r="P65" s="4"/>
      <c r="Q65" s="51">
        <f t="shared" si="2"/>
        <v>138</v>
      </c>
    </row>
    <row r="66" spans="1:17" s="51" customFormat="1">
      <c r="A66" s="39" t="s">
        <v>513</v>
      </c>
      <c r="B66" s="39" t="s">
        <v>25</v>
      </c>
      <c r="C66" s="55" t="s">
        <v>23</v>
      </c>
      <c r="D66" s="44" t="s">
        <v>8</v>
      </c>
      <c r="F66" s="53">
        <v>60</v>
      </c>
      <c r="G66" s="6"/>
      <c r="H66" s="52">
        <v>61</v>
      </c>
      <c r="I66" s="52">
        <v>44</v>
      </c>
      <c r="J66" s="38">
        <v>0.54652777777777783</v>
      </c>
      <c r="K66" s="93">
        <v>50</v>
      </c>
      <c r="L66" s="52">
        <v>35</v>
      </c>
      <c r="M66" s="104">
        <v>0.58263888888888882</v>
      </c>
      <c r="P66" s="4"/>
      <c r="Q66" s="51">
        <f t="shared" si="2"/>
        <v>139</v>
      </c>
    </row>
    <row r="67" spans="1:17" s="36" customFormat="1">
      <c r="A67" s="39" t="s">
        <v>66</v>
      </c>
      <c r="B67" s="39" t="s">
        <v>511</v>
      </c>
      <c r="C67" s="39" t="s">
        <v>40</v>
      </c>
      <c r="D67" s="41" t="s">
        <v>8</v>
      </c>
      <c r="E67" s="41"/>
      <c r="F67" s="53">
        <v>60</v>
      </c>
      <c r="G67" s="6"/>
      <c r="H67" s="37">
        <v>54</v>
      </c>
      <c r="I67" s="37">
        <v>41</v>
      </c>
      <c r="J67" s="38">
        <v>0.52916666666666667</v>
      </c>
      <c r="K67" s="93"/>
      <c r="L67" s="52">
        <v>38</v>
      </c>
      <c r="M67" s="4"/>
      <c r="P67" s="4"/>
      <c r="Q67" s="51">
        <f t="shared" si="2"/>
        <v>139</v>
      </c>
    </row>
    <row r="68" spans="1:17" s="36" customFormat="1">
      <c r="A68" s="39" t="s">
        <v>200</v>
      </c>
      <c r="B68" s="39" t="s">
        <v>201</v>
      </c>
      <c r="C68" s="55" t="s">
        <v>23</v>
      </c>
      <c r="D68" s="44" t="s">
        <v>8</v>
      </c>
      <c r="E68" s="41">
        <v>87</v>
      </c>
      <c r="F68" s="88">
        <v>56</v>
      </c>
      <c r="G68" s="4">
        <v>0.62708333333333333</v>
      </c>
      <c r="H68" s="52">
        <v>62</v>
      </c>
      <c r="I68" s="52">
        <v>45</v>
      </c>
      <c r="J68" s="38">
        <v>0.54861111111111105</v>
      </c>
      <c r="K68" s="52"/>
      <c r="L68" s="52">
        <v>38</v>
      </c>
      <c r="M68" s="38"/>
      <c r="P68" s="4"/>
      <c r="Q68" s="51">
        <f t="shared" si="2"/>
        <v>139</v>
      </c>
    </row>
    <row r="69" spans="1:17" s="36" customFormat="1">
      <c r="A69" s="39" t="s">
        <v>71</v>
      </c>
      <c r="B69" s="39" t="s">
        <v>72</v>
      </c>
      <c r="C69" s="39" t="s">
        <v>207</v>
      </c>
      <c r="D69" s="41" t="s">
        <v>8</v>
      </c>
      <c r="E69" s="41"/>
      <c r="F69" s="88">
        <v>60</v>
      </c>
      <c r="G69" s="4"/>
      <c r="H69" s="52"/>
      <c r="I69" s="52">
        <v>55</v>
      </c>
      <c r="J69" s="38"/>
      <c r="K69" s="52">
        <v>32</v>
      </c>
      <c r="L69" s="52">
        <v>25</v>
      </c>
      <c r="M69" s="38">
        <v>0.53055555555555556</v>
      </c>
      <c r="P69" s="4"/>
      <c r="Q69" s="51">
        <f t="shared" si="2"/>
        <v>140</v>
      </c>
    </row>
    <row r="70" spans="1:17" s="36" customFormat="1">
      <c r="A70" s="51" t="s">
        <v>150</v>
      </c>
      <c r="B70" s="51" t="s">
        <v>38</v>
      </c>
      <c r="C70" s="51" t="s">
        <v>36</v>
      </c>
      <c r="D70" s="44" t="s">
        <v>8</v>
      </c>
      <c r="E70" s="51">
        <v>68</v>
      </c>
      <c r="F70" s="88">
        <v>48</v>
      </c>
      <c r="G70" s="4">
        <v>0.57638888888888895</v>
      </c>
      <c r="H70" s="52">
        <v>82</v>
      </c>
      <c r="I70" s="52">
        <v>54</v>
      </c>
      <c r="J70" s="38">
        <v>0.63263888888888886</v>
      </c>
      <c r="K70" s="52"/>
      <c r="L70" s="52">
        <v>38</v>
      </c>
      <c r="M70" s="38"/>
      <c r="P70" s="4"/>
      <c r="Q70" s="51">
        <f t="shared" ref="Q70:Q101" si="3">F70+I70+L70+O70</f>
        <v>140</v>
      </c>
    </row>
    <row r="71" spans="1:17" s="36" customFormat="1">
      <c r="A71" s="51" t="s">
        <v>168</v>
      </c>
      <c r="B71" s="51" t="s">
        <v>179</v>
      </c>
      <c r="C71" s="39" t="s">
        <v>174</v>
      </c>
      <c r="D71" s="44" t="s">
        <v>8</v>
      </c>
      <c r="E71" s="51">
        <v>65</v>
      </c>
      <c r="F71" s="88">
        <v>47</v>
      </c>
      <c r="G71" s="4">
        <v>0.57291666666666663</v>
      </c>
      <c r="H71" s="52"/>
      <c r="I71" s="52">
        <v>55</v>
      </c>
      <c r="J71" s="38"/>
      <c r="K71" s="52"/>
      <c r="L71" s="52">
        <v>38</v>
      </c>
      <c r="M71" s="38"/>
      <c r="P71" s="4"/>
      <c r="Q71" s="51">
        <f t="shared" si="3"/>
        <v>140</v>
      </c>
    </row>
    <row r="72" spans="1:17" s="36" customFormat="1">
      <c r="A72" s="39" t="s">
        <v>138</v>
      </c>
      <c r="B72" s="39" t="s">
        <v>215</v>
      </c>
      <c r="C72" s="39" t="s">
        <v>214</v>
      </c>
      <c r="D72" s="41" t="s">
        <v>8</v>
      </c>
      <c r="E72" s="41">
        <v>83</v>
      </c>
      <c r="F72" s="88">
        <v>55</v>
      </c>
      <c r="G72" s="4">
        <v>0.60555555555555551</v>
      </c>
      <c r="H72" s="37">
        <v>74</v>
      </c>
      <c r="I72" s="37">
        <v>50</v>
      </c>
      <c r="J72" s="38">
        <v>0.57986111111111105</v>
      </c>
      <c r="K72" s="52">
        <v>53</v>
      </c>
      <c r="L72" s="52">
        <v>36</v>
      </c>
      <c r="M72" s="38">
        <v>0.59166666666666667</v>
      </c>
      <c r="P72" s="4"/>
      <c r="Q72" s="51">
        <f t="shared" si="3"/>
        <v>141</v>
      </c>
    </row>
    <row r="73" spans="1:17" s="51" customFormat="1">
      <c r="A73" s="39" t="s">
        <v>157</v>
      </c>
      <c r="B73" s="39" t="s">
        <v>506</v>
      </c>
      <c r="C73" s="39" t="s">
        <v>11</v>
      </c>
      <c r="D73" s="41" t="s">
        <v>8</v>
      </c>
      <c r="E73" s="41"/>
      <c r="F73" s="53">
        <v>60</v>
      </c>
      <c r="G73" s="6"/>
      <c r="H73" s="52">
        <v>60</v>
      </c>
      <c r="I73" s="52">
        <v>43</v>
      </c>
      <c r="J73" s="38">
        <v>0.5444444444444444</v>
      </c>
      <c r="K73" s="93"/>
      <c r="L73" s="52">
        <v>38</v>
      </c>
      <c r="M73" s="4"/>
      <c r="P73" s="4"/>
      <c r="Q73" s="51">
        <f t="shared" si="3"/>
        <v>141</v>
      </c>
    </row>
    <row r="74" spans="1:17" s="51" customFormat="1">
      <c r="A74" s="39" t="s">
        <v>695</v>
      </c>
      <c r="B74" s="39" t="s">
        <v>696</v>
      </c>
      <c r="C74" s="39" t="s">
        <v>11</v>
      </c>
      <c r="D74" s="41" t="s">
        <v>8</v>
      </c>
      <c r="E74" s="41"/>
      <c r="F74" s="88">
        <v>60</v>
      </c>
      <c r="G74" s="4"/>
      <c r="H74" s="52"/>
      <c r="I74" s="52">
        <v>55</v>
      </c>
      <c r="J74" s="38"/>
      <c r="K74" s="52">
        <v>34</v>
      </c>
      <c r="L74" s="52">
        <v>27</v>
      </c>
      <c r="M74" s="38">
        <v>0.53541666666666665</v>
      </c>
      <c r="P74" s="4"/>
      <c r="Q74" s="51">
        <f t="shared" si="3"/>
        <v>142</v>
      </c>
    </row>
    <row r="75" spans="1:17" s="51" customFormat="1">
      <c r="A75" s="51" t="s">
        <v>155</v>
      </c>
      <c r="B75" s="51" t="s">
        <v>156</v>
      </c>
      <c r="C75" s="51" t="s">
        <v>36</v>
      </c>
      <c r="D75" s="44" t="s">
        <v>8</v>
      </c>
      <c r="E75" s="51">
        <v>81</v>
      </c>
      <c r="F75" s="88">
        <v>53</v>
      </c>
      <c r="G75" s="4">
        <v>0.60069444444444442</v>
      </c>
      <c r="H75" s="52">
        <v>76</v>
      </c>
      <c r="I75" s="52">
        <v>51</v>
      </c>
      <c r="J75" s="38">
        <v>0.59097222222222223</v>
      </c>
      <c r="K75" s="52"/>
      <c r="L75" s="52">
        <v>38</v>
      </c>
      <c r="M75" s="38"/>
      <c r="P75" s="4"/>
      <c r="Q75" s="51">
        <f t="shared" si="3"/>
        <v>142</v>
      </c>
    </row>
    <row r="76" spans="1:17" s="51" customFormat="1">
      <c r="A76" s="51" t="s">
        <v>171</v>
      </c>
      <c r="B76" s="51" t="s">
        <v>172</v>
      </c>
      <c r="C76" s="39" t="s">
        <v>15</v>
      </c>
      <c r="D76" s="44" t="s">
        <v>8</v>
      </c>
      <c r="E76" s="51">
        <v>69</v>
      </c>
      <c r="F76" s="88">
        <v>49</v>
      </c>
      <c r="G76" s="4">
        <v>0.57638888888888895</v>
      </c>
      <c r="H76" s="52"/>
      <c r="I76" s="52">
        <v>55</v>
      </c>
      <c r="J76" s="38"/>
      <c r="K76" s="52"/>
      <c r="L76" s="52">
        <v>38</v>
      </c>
      <c r="M76" s="38"/>
      <c r="P76" s="4"/>
      <c r="Q76" s="51">
        <f t="shared" si="3"/>
        <v>142</v>
      </c>
    </row>
    <row r="77" spans="1:17" s="51" customFormat="1">
      <c r="A77" s="39" t="s">
        <v>204</v>
      </c>
      <c r="B77" s="39" t="s">
        <v>205</v>
      </c>
      <c r="C77" s="39" t="s">
        <v>207</v>
      </c>
      <c r="D77" s="41" t="s">
        <v>8</v>
      </c>
      <c r="E77" s="41">
        <v>71</v>
      </c>
      <c r="F77" s="88">
        <v>50</v>
      </c>
      <c r="G77" s="4">
        <v>0.58333333333333337</v>
      </c>
      <c r="H77" s="52"/>
      <c r="I77" s="52">
        <v>55</v>
      </c>
      <c r="J77" s="38"/>
      <c r="K77" s="52"/>
      <c r="L77" s="52">
        <v>38</v>
      </c>
      <c r="M77" s="38"/>
      <c r="P77" s="4"/>
      <c r="Q77" s="51">
        <f t="shared" si="3"/>
        <v>143</v>
      </c>
    </row>
    <row r="78" spans="1:17" s="36" customFormat="1">
      <c r="A78" s="39" t="s">
        <v>536</v>
      </c>
      <c r="B78" s="39" t="s">
        <v>537</v>
      </c>
      <c r="C78" s="39" t="s">
        <v>214</v>
      </c>
      <c r="D78" s="41" t="s">
        <v>8</v>
      </c>
      <c r="E78" s="41"/>
      <c r="F78" s="88">
        <v>60</v>
      </c>
      <c r="G78" s="4"/>
      <c r="H78" s="37">
        <v>66</v>
      </c>
      <c r="I78" s="37">
        <v>47</v>
      </c>
      <c r="J78" s="38">
        <v>0.56388888888888888</v>
      </c>
      <c r="K78" s="52">
        <v>55</v>
      </c>
      <c r="L78" s="52">
        <v>37</v>
      </c>
      <c r="M78" s="38">
        <v>0.60555555555555551</v>
      </c>
      <c r="P78" s="4"/>
      <c r="Q78" s="51">
        <f t="shared" si="3"/>
        <v>144</v>
      </c>
    </row>
    <row r="79" spans="1:17" s="51" customFormat="1">
      <c r="A79" s="51" t="s">
        <v>157</v>
      </c>
      <c r="B79" s="51" t="s">
        <v>158</v>
      </c>
      <c r="C79" s="39" t="s">
        <v>36</v>
      </c>
      <c r="D79" s="44" t="s">
        <v>8</v>
      </c>
      <c r="E79" s="51">
        <v>73</v>
      </c>
      <c r="F79" s="88">
        <v>51</v>
      </c>
      <c r="G79" s="4">
        <v>0.58611111111111114</v>
      </c>
      <c r="H79" s="52"/>
      <c r="I79" s="52">
        <v>55</v>
      </c>
      <c r="J79" s="38"/>
      <c r="K79" s="52"/>
      <c r="L79" s="52">
        <v>38</v>
      </c>
      <c r="M79" s="38"/>
      <c r="P79" s="4"/>
      <c r="Q79" s="51">
        <f t="shared" si="3"/>
        <v>144</v>
      </c>
    </row>
    <row r="80" spans="1:17" s="36" customFormat="1">
      <c r="A80" s="39" t="s">
        <v>150</v>
      </c>
      <c r="B80" s="39" t="s">
        <v>705</v>
      </c>
      <c r="C80" s="39" t="s">
        <v>40</v>
      </c>
      <c r="D80" s="41" t="s">
        <v>8</v>
      </c>
      <c r="E80" s="41"/>
      <c r="F80" s="88">
        <v>60</v>
      </c>
      <c r="G80" s="6"/>
      <c r="H80" s="52"/>
      <c r="I80" s="37">
        <v>55</v>
      </c>
      <c r="J80" s="38"/>
      <c r="K80" s="52">
        <v>41</v>
      </c>
      <c r="L80" s="52">
        <v>31</v>
      </c>
      <c r="M80" s="38">
        <v>0.55277777777777781</v>
      </c>
      <c r="P80" s="4"/>
      <c r="Q80" s="51">
        <f t="shared" si="3"/>
        <v>146</v>
      </c>
    </row>
    <row r="81" spans="1:17" s="51" customFormat="1">
      <c r="A81" s="39" t="s">
        <v>514</v>
      </c>
      <c r="B81" s="39" t="s">
        <v>184</v>
      </c>
      <c r="C81" s="55" t="s">
        <v>23</v>
      </c>
      <c r="D81" s="44" t="s">
        <v>8</v>
      </c>
      <c r="F81" s="53">
        <v>60</v>
      </c>
      <c r="G81" s="6"/>
      <c r="H81" s="52">
        <v>68</v>
      </c>
      <c r="I81" s="52">
        <v>48</v>
      </c>
      <c r="J81" s="38">
        <v>0.56944444444444442</v>
      </c>
      <c r="K81" s="93"/>
      <c r="L81" s="52">
        <v>38</v>
      </c>
      <c r="M81" s="4"/>
      <c r="P81" s="4"/>
      <c r="Q81" s="51">
        <f t="shared" si="3"/>
        <v>146</v>
      </c>
    </row>
    <row r="82" spans="1:17" s="51" customFormat="1">
      <c r="A82" s="39" t="s">
        <v>73</v>
      </c>
      <c r="B82" s="39" t="s">
        <v>206</v>
      </c>
      <c r="C82" s="39" t="s">
        <v>207</v>
      </c>
      <c r="D82" s="41" t="s">
        <v>8</v>
      </c>
      <c r="E82" s="41">
        <v>95</v>
      </c>
      <c r="F82" s="88">
        <v>59</v>
      </c>
      <c r="G82" s="4">
        <v>0.73263888888888884</v>
      </c>
      <c r="H82" s="52">
        <v>71</v>
      </c>
      <c r="I82" s="52">
        <v>49</v>
      </c>
      <c r="J82" s="38">
        <v>0.57708333333333328</v>
      </c>
      <c r="K82" s="52"/>
      <c r="L82" s="52">
        <v>38</v>
      </c>
      <c r="M82" s="38"/>
      <c r="P82" s="4"/>
      <c r="Q82" s="51">
        <f t="shared" si="3"/>
        <v>146</v>
      </c>
    </row>
    <row r="83" spans="1:17" s="51" customFormat="1">
      <c r="A83" s="39" t="s">
        <v>706</v>
      </c>
      <c r="B83" s="39" t="s">
        <v>707</v>
      </c>
      <c r="C83" s="39" t="s">
        <v>40</v>
      </c>
      <c r="D83" s="41" t="s">
        <v>8</v>
      </c>
      <c r="E83" s="41"/>
      <c r="F83" s="53">
        <v>60</v>
      </c>
      <c r="G83" s="6"/>
      <c r="H83" s="52"/>
      <c r="I83" s="52">
        <v>55</v>
      </c>
      <c r="J83" s="38"/>
      <c r="K83" s="93">
        <v>42</v>
      </c>
      <c r="L83" s="52">
        <v>32</v>
      </c>
      <c r="M83" s="104">
        <v>0.55694444444444446</v>
      </c>
      <c r="P83" s="4"/>
      <c r="Q83" s="51">
        <f t="shared" si="3"/>
        <v>147</v>
      </c>
    </row>
    <row r="84" spans="1:17" s="51" customFormat="1">
      <c r="A84" s="39" t="s">
        <v>243</v>
      </c>
      <c r="B84" s="39" t="s">
        <v>244</v>
      </c>
      <c r="C84" s="39" t="s">
        <v>40</v>
      </c>
      <c r="D84" s="41" t="s">
        <v>8</v>
      </c>
      <c r="E84" s="41">
        <v>82</v>
      </c>
      <c r="F84" s="88">
        <v>54</v>
      </c>
      <c r="G84" s="4">
        <v>0.60277777777777775</v>
      </c>
      <c r="H84" s="52"/>
      <c r="I84" s="52">
        <v>55</v>
      </c>
      <c r="J84" s="38"/>
      <c r="K84" s="52"/>
      <c r="L84" s="52">
        <v>38</v>
      </c>
      <c r="M84" s="38"/>
      <c r="P84" s="4"/>
      <c r="Q84" s="51">
        <f t="shared" si="3"/>
        <v>147</v>
      </c>
    </row>
    <row r="85" spans="1:17" s="51" customFormat="1">
      <c r="A85" s="39" t="s">
        <v>14</v>
      </c>
      <c r="B85" s="39" t="s">
        <v>697</v>
      </c>
      <c r="C85" s="39" t="s">
        <v>11</v>
      </c>
      <c r="D85" s="41" t="s">
        <v>8</v>
      </c>
      <c r="E85" s="41"/>
      <c r="F85" s="88">
        <v>60</v>
      </c>
      <c r="G85" s="4"/>
      <c r="H85" s="52"/>
      <c r="I85" s="52">
        <v>55</v>
      </c>
      <c r="J85" s="38"/>
      <c r="K85" s="52">
        <v>44</v>
      </c>
      <c r="L85" s="52">
        <v>33</v>
      </c>
      <c r="M85" s="38">
        <v>0.56319444444444444</v>
      </c>
      <c r="P85" s="4"/>
      <c r="Q85" s="51">
        <f t="shared" si="3"/>
        <v>148</v>
      </c>
    </row>
    <row r="86" spans="1:17" s="51" customFormat="1">
      <c r="A86" s="39" t="s">
        <v>516</v>
      </c>
      <c r="B86" s="39" t="s">
        <v>517</v>
      </c>
      <c r="C86" s="55" t="s">
        <v>23</v>
      </c>
      <c r="D86" s="44" t="s">
        <v>8</v>
      </c>
      <c r="F86" s="53">
        <v>60</v>
      </c>
      <c r="G86" s="6"/>
      <c r="H86" s="52">
        <v>77</v>
      </c>
      <c r="I86" s="52">
        <v>52</v>
      </c>
      <c r="J86" s="38">
        <v>0.59791666666666665</v>
      </c>
      <c r="K86" s="93"/>
      <c r="L86" s="52">
        <v>38</v>
      </c>
      <c r="M86" s="4"/>
      <c r="P86" s="4"/>
      <c r="Q86" s="51">
        <f t="shared" si="3"/>
        <v>150</v>
      </c>
    </row>
    <row r="87" spans="1:17" s="51" customFormat="1">
      <c r="A87" s="39" t="s">
        <v>219</v>
      </c>
      <c r="B87" s="39" t="s">
        <v>220</v>
      </c>
      <c r="C87" s="39" t="s">
        <v>214</v>
      </c>
      <c r="D87" s="41" t="s">
        <v>8</v>
      </c>
      <c r="E87" s="41">
        <v>91</v>
      </c>
      <c r="F87" s="88">
        <v>57</v>
      </c>
      <c r="G87" s="4">
        <v>0.68055555555555547</v>
      </c>
      <c r="H87" s="52"/>
      <c r="I87" s="52">
        <v>55</v>
      </c>
      <c r="J87" s="38"/>
      <c r="K87" s="52"/>
      <c r="L87" s="52">
        <v>38</v>
      </c>
      <c r="M87" s="38"/>
      <c r="P87" s="4"/>
      <c r="Q87" s="51">
        <f t="shared" si="3"/>
        <v>150</v>
      </c>
    </row>
    <row r="88" spans="1:17" s="51" customFormat="1">
      <c r="A88" s="39" t="s">
        <v>545</v>
      </c>
      <c r="B88" s="39" t="s">
        <v>546</v>
      </c>
      <c r="C88" s="39" t="s">
        <v>207</v>
      </c>
      <c r="D88" s="41" t="s">
        <v>8</v>
      </c>
      <c r="E88" s="41"/>
      <c r="F88" s="88">
        <v>60</v>
      </c>
      <c r="G88" s="4"/>
      <c r="H88" s="52">
        <v>80</v>
      </c>
      <c r="I88" s="52">
        <v>53</v>
      </c>
      <c r="J88" s="38">
        <v>0.61527777777777781</v>
      </c>
      <c r="K88" s="93"/>
      <c r="L88" s="52">
        <v>38</v>
      </c>
      <c r="M88" s="4"/>
      <c r="P88" s="4"/>
      <c r="Q88" s="51">
        <f t="shared" si="3"/>
        <v>151</v>
      </c>
    </row>
    <row r="89" spans="1:17" s="51" customFormat="1">
      <c r="A89" s="39" t="s">
        <v>30</v>
      </c>
      <c r="B89" s="39" t="s">
        <v>208</v>
      </c>
      <c r="C89" s="39" t="s">
        <v>207</v>
      </c>
      <c r="D89" s="41" t="s">
        <v>8</v>
      </c>
      <c r="E89" s="41">
        <v>94</v>
      </c>
      <c r="F89" s="88">
        <v>58</v>
      </c>
      <c r="G89" s="4">
        <v>0.72013888888888899</v>
      </c>
      <c r="H89" s="52"/>
      <c r="I89" s="52">
        <v>55</v>
      </c>
      <c r="J89" s="38"/>
      <c r="K89" s="52"/>
      <c r="L89" s="52">
        <v>38</v>
      </c>
      <c r="M89" s="38"/>
      <c r="P89" s="4"/>
      <c r="Q89" s="51">
        <f t="shared" si="3"/>
        <v>151</v>
      </c>
    </row>
    <row r="90" spans="1:17" s="51" customFormat="1">
      <c r="A90" s="125" t="s">
        <v>185</v>
      </c>
      <c r="B90" s="125" t="s">
        <v>186</v>
      </c>
      <c r="C90" s="133" t="s">
        <v>23</v>
      </c>
      <c r="D90" s="134" t="s">
        <v>10</v>
      </c>
      <c r="E90" s="125">
        <v>7</v>
      </c>
      <c r="F90" s="135">
        <v>1</v>
      </c>
      <c r="G90" s="128">
        <v>0.47569444444444442</v>
      </c>
      <c r="H90" s="129">
        <v>7</v>
      </c>
      <c r="I90" s="129">
        <v>1</v>
      </c>
      <c r="J90" s="130">
        <v>0.45833333333333331</v>
      </c>
      <c r="K90" s="129">
        <v>5</v>
      </c>
      <c r="L90" s="129">
        <v>1</v>
      </c>
      <c r="M90" s="130">
        <v>0.46249999999999997</v>
      </c>
      <c r="N90" s="125"/>
      <c r="O90" s="125"/>
      <c r="P90" s="128"/>
      <c r="Q90" s="125">
        <f t="shared" si="3"/>
        <v>3</v>
      </c>
    </row>
    <row r="91" spans="1:17" s="51" customFormat="1">
      <c r="A91" s="125" t="s">
        <v>189</v>
      </c>
      <c r="B91" s="125" t="s">
        <v>33</v>
      </c>
      <c r="C91" s="133" t="s">
        <v>23</v>
      </c>
      <c r="D91" s="134" t="s">
        <v>10</v>
      </c>
      <c r="E91" s="125">
        <v>19</v>
      </c>
      <c r="F91" s="135">
        <v>3</v>
      </c>
      <c r="G91" s="128">
        <v>0.49722222222222223</v>
      </c>
      <c r="H91" s="129">
        <v>14</v>
      </c>
      <c r="I91" s="129">
        <v>2</v>
      </c>
      <c r="J91" s="130">
        <v>0.47152777777777777</v>
      </c>
      <c r="K91" s="129">
        <v>22</v>
      </c>
      <c r="L91" s="129">
        <v>3</v>
      </c>
      <c r="M91" s="130" t="s">
        <v>784</v>
      </c>
      <c r="N91" s="125"/>
      <c r="O91" s="125"/>
      <c r="P91" s="128"/>
      <c r="Q91" s="125">
        <f t="shared" si="3"/>
        <v>8</v>
      </c>
    </row>
    <row r="92" spans="1:17" s="51" customFormat="1">
      <c r="A92" s="145" t="s">
        <v>191</v>
      </c>
      <c r="B92" s="145" t="s">
        <v>192</v>
      </c>
      <c r="C92" s="133" t="s">
        <v>23</v>
      </c>
      <c r="D92" s="134" t="s">
        <v>10</v>
      </c>
      <c r="E92" s="146">
        <v>21</v>
      </c>
      <c r="F92" s="135">
        <v>4</v>
      </c>
      <c r="G92" s="128">
        <v>0.4993055555555555</v>
      </c>
      <c r="H92" s="129">
        <v>33</v>
      </c>
      <c r="I92" s="129">
        <v>4</v>
      </c>
      <c r="J92" s="130">
        <v>0.49652777777777773</v>
      </c>
      <c r="K92" s="129">
        <v>27</v>
      </c>
      <c r="L92" s="129">
        <v>5</v>
      </c>
      <c r="M92" s="130">
        <v>0.51458333333333328</v>
      </c>
      <c r="N92" s="125"/>
      <c r="O92" s="125"/>
      <c r="P92" s="128"/>
      <c r="Q92" s="125">
        <f t="shared" si="3"/>
        <v>13</v>
      </c>
    </row>
    <row r="93" spans="1:17" s="51" customFormat="1">
      <c r="A93" s="51" t="s">
        <v>145</v>
      </c>
      <c r="B93" s="51" t="s">
        <v>113</v>
      </c>
      <c r="C93" s="51" t="s">
        <v>36</v>
      </c>
      <c r="D93" s="44" t="s">
        <v>10</v>
      </c>
      <c r="E93" s="51">
        <v>37</v>
      </c>
      <c r="F93" s="88">
        <v>6</v>
      </c>
      <c r="G93" s="6">
        <v>0.52569444444444446</v>
      </c>
      <c r="H93" s="52">
        <v>53</v>
      </c>
      <c r="I93" s="52">
        <v>13</v>
      </c>
      <c r="J93" s="38">
        <v>0.52638888888888891</v>
      </c>
      <c r="K93" s="52">
        <v>29</v>
      </c>
      <c r="L93" s="52">
        <v>6</v>
      </c>
      <c r="M93" s="38">
        <v>0.5180555555555556</v>
      </c>
      <c r="P93" s="4"/>
      <c r="Q93" s="51">
        <f t="shared" si="3"/>
        <v>25</v>
      </c>
    </row>
    <row r="94" spans="1:17" s="51" customFormat="1">
      <c r="A94" s="39" t="s">
        <v>227</v>
      </c>
      <c r="B94" s="39" t="s">
        <v>228</v>
      </c>
      <c r="C94" s="39" t="s">
        <v>40</v>
      </c>
      <c r="D94" s="41" t="s">
        <v>10</v>
      </c>
      <c r="E94" s="41">
        <v>43</v>
      </c>
      <c r="F94" s="88">
        <v>9</v>
      </c>
      <c r="G94" s="6">
        <v>0.54305555555555551</v>
      </c>
      <c r="H94" s="52">
        <v>46</v>
      </c>
      <c r="I94" s="52">
        <v>10</v>
      </c>
      <c r="J94" s="38">
        <v>0.51597222222222217</v>
      </c>
      <c r="K94" s="52">
        <v>30</v>
      </c>
      <c r="L94" s="52">
        <v>7</v>
      </c>
      <c r="M94" s="38">
        <v>0.52708333333333335</v>
      </c>
      <c r="P94" s="4"/>
      <c r="Q94" s="51">
        <f t="shared" si="3"/>
        <v>26</v>
      </c>
    </row>
    <row r="95" spans="1:17" s="51" customFormat="1">
      <c r="A95" s="39" t="s">
        <v>250</v>
      </c>
      <c r="B95" s="39" t="s">
        <v>251</v>
      </c>
      <c r="C95" s="39" t="s">
        <v>11</v>
      </c>
      <c r="D95" s="41" t="s">
        <v>10</v>
      </c>
      <c r="E95" s="41">
        <v>18</v>
      </c>
      <c r="F95" s="88">
        <v>2</v>
      </c>
      <c r="G95" s="6">
        <v>0.49652777777777773</v>
      </c>
      <c r="H95" s="52">
        <v>42</v>
      </c>
      <c r="I95" s="52">
        <v>8</v>
      </c>
      <c r="J95" s="38">
        <v>0.50763888888888886</v>
      </c>
      <c r="K95" s="52"/>
      <c r="L95" s="52">
        <v>24</v>
      </c>
      <c r="M95" s="38"/>
      <c r="P95" s="4"/>
      <c r="Q95" s="51">
        <f t="shared" si="3"/>
        <v>34</v>
      </c>
    </row>
    <row r="96" spans="1:17" s="51" customFormat="1">
      <c r="A96" s="39" t="s">
        <v>132</v>
      </c>
      <c r="B96" s="39" t="s">
        <v>197</v>
      </c>
      <c r="C96" s="55" t="s">
        <v>23</v>
      </c>
      <c r="D96" s="44" t="s">
        <v>10</v>
      </c>
      <c r="E96" s="42">
        <v>60</v>
      </c>
      <c r="F96" s="88">
        <v>16</v>
      </c>
      <c r="G96" s="4">
        <v>0.56458333333333333</v>
      </c>
      <c r="H96" s="52">
        <v>52</v>
      </c>
      <c r="I96" s="52">
        <v>12</v>
      </c>
      <c r="J96" s="38">
        <v>0.52569444444444446</v>
      </c>
      <c r="K96" s="52">
        <v>40</v>
      </c>
      <c r="L96" s="52">
        <v>10</v>
      </c>
      <c r="M96" s="38">
        <v>0.5493055555555556</v>
      </c>
      <c r="P96" s="4"/>
      <c r="Q96" s="51">
        <f t="shared" si="3"/>
        <v>38</v>
      </c>
    </row>
    <row r="97" spans="1:17" s="51" customFormat="1">
      <c r="A97" s="51" t="s">
        <v>176</v>
      </c>
      <c r="B97" s="51" t="s">
        <v>177</v>
      </c>
      <c r="C97" s="55" t="s">
        <v>174</v>
      </c>
      <c r="D97" s="44" t="s">
        <v>10</v>
      </c>
      <c r="E97" s="51">
        <v>42</v>
      </c>
      <c r="F97" s="88">
        <v>8</v>
      </c>
      <c r="G97" s="6">
        <v>0.53333333333333333</v>
      </c>
      <c r="H97" s="52">
        <v>40</v>
      </c>
      <c r="I97" s="52">
        <v>7</v>
      </c>
      <c r="J97" s="38">
        <v>0.50624999999999998</v>
      </c>
      <c r="K97" s="52"/>
      <c r="L97" s="52">
        <v>24</v>
      </c>
      <c r="M97" s="38"/>
      <c r="P97" s="4"/>
      <c r="Q97" s="51">
        <f t="shared" si="3"/>
        <v>39</v>
      </c>
    </row>
    <row r="98" spans="1:17" s="51" customFormat="1">
      <c r="A98" s="51" t="s">
        <v>532</v>
      </c>
      <c r="B98" s="51" t="s">
        <v>533</v>
      </c>
      <c r="C98" s="51" t="s">
        <v>9</v>
      </c>
      <c r="D98" s="44" t="s">
        <v>10</v>
      </c>
      <c r="F98" s="88">
        <v>38</v>
      </c>
      <c r="G98" s="6"/>
      <c r="H98" s="52">
        <v>15</v>
      </c>
      <c r="I98" s="52">
        <v>3</v>
      </c>
      <c r="J98" s="38">
        <v>0.47500000000000003</v>
      </c>
      <c r="K98" s="52">
        <v>23</v>
      </c>
      <c r="L98" s="52">
        <v>4</v>
      </c>
      <c r="M98" s="38">
        <v>0.51041666666666663</v>
      </c>
      <c r="P98" s="4"/>
      <c r="Q98" s="51">
        <f t="shared" si="3"/>
        <v>45</v>
      </c>
    </row>
    <row r="99" spans="1:17" s="51" customFormat="1">
      <c r="A99" s="39" t="s">
        <v>195</v>
      </c>
      <c r="B99" s="39" t="s">
        <v>197</v>
      </c>
      <c r="C99" s="55" t="s">
        <v>23</v>
      </c>
      <c r="D99" s="44" t="s">
        <v>10</v>
      </c>
      <c r="E99" s="41">
        <v>66</v>
      </c>
      <c r="F99" s="88">
        <v>19</v>
      </c>
      <c r="G99" s="4">
        <v>0.57430555555555551</v>
      </c>
      <c r="H99" s="52">
        <v>58</v>
      </c>
      <c r="I99" s="52">
        <v>16</v>
      </c>
      <c r="J99" s="38">
        <v>0.53749999999999998</v>
      </c>
      <c r="K99" s="52">
        <v>43</v>
      </c>
      <c r="L99" s="52">
        <v>11</v>
      </c>
      <c r="M99" s="38">
        <v>0.56111111111111112</v>
      </c>
      <c r="P99" s="4"/>
      <c r="Q99" s="51">
        <f t="shared" si="3"/>
        <v>46</v>
      </c>
    </row>
    <row r="100" spans="1:17" s="51" customFormat="1">
      <c r="A100" s="39" t="s">
        <v>68</v>
      </c>
      <c r="B100" s="39" t="s">
        <v>254</v>
      </c>
      <c r="C100" s="39" t="s">
        <v>11</v>
      </c>
      <c r="D100" s="41" t="s">
        <v>10</v>
      </c>
      <c r="E100" s="41">
        <v>76</v>
      </c>
      <c r="F100" s="88">
        <v>25</v>
      </c>
      <c r="G100" s="4">
        <v>0.58680555555555558</v>
      </c>
      <c r="H100" s="52">
        <v>64</v>
      </c>
      <c r="I100" s="52">
        <v>19</v>
      </c>
      <c r="J100" s="38">
        <v>0.55486111111111114</v>
      </c>
      <c r="K100" s="52">
        <v>45</v>
      </c>
      <c r="L100" s="52">
        <v>12</v>
      </c>
      <c r="M100" s="38">
        <v>0.56388888888888888</v>
      </c>
      <c r="P100" s="4"/>
      <c r="Q100" s="51">
        <f t="shared" si="3"/>
        <v>56</v>
      </c>
    </row>
    <row r="101" spans="1:17" s="51" customFormat="1">
      <c r="A101" s="39" t="s">
        <v>203</v>
      </c>
      <c r="B101" s="39" t="s">
        <v>481</v>
      </c>
      <c r="C101" s="55" t="s">
        <v>23</v>
      </c>
      <c r="D101" s="44" t="s">
        <v>10</v>
      </c>
      <c r="E101" s="41">
        <v>72</v>
      </c>
      <c r="F101" s="88">
        <v>22</v>
      </c>
      <c r="G101" s="4">
        <v>0.58472222222222225</v>
      </c>
      <c r="H101" s="52">
        <v>72</v>
      </c>
      <c r="I101" s="52">
        <v>23</v>
      </c>
      <c r="J101" s="38">
        <v>0.57777777777777783</v>
      </c>
      <c r="K101" s="52">
        <v>47</v>
      </c>
      <c r="L101" s="52">
        <v>13</v>
      </c>
      <c r="M101" s="38">
        <v>0.57500000000000007</v>
      </c>
      <c r="P101" s="4"/>
      <c r="Q101" s="51">
        <f t="shared" si="3"/>
        <v>58</v>
      </c>
    </row>
    <row r="102" spans="1:17" s="51" customFormat="1">
      <c r="A102" s="39" t="s">
        <v>96</v>
      </c>
      <c r="B102" s="39" t="s">
        <v>228</v>
      </c>
      <c r="C102" s="39" t="s">
        <v>40</v>
      </c>
      <c r="D102" s="41" t="s">
        <v>10</v>
      </c>
      <c r="E102" s="41">
        <v>63</v>
      </c>
      <c r="F102" s="88">
        <v>17</v>
      </c>
      <c r="G102" s="4">
        <v>0.56805555555555554</v>
      </c>
      <c r="H102" s="52">
        <v>59</v>
      </c>
      <c r="I102" s="52">
        <v>17</v>
      </c>
      <c r="J102" s="38">
        <v>0.5395833333333333</v>
      </c>
      <c r="K102" s="52"/>
      <c r="L102" s="52">
        <v>24</v>
      </c>
      <c r="M102" s="38"/>
      <c r="P102" s="4"/>
      <c r="Q102" s="51">
        <f t="shared" ref="Q102:Q133" si="4">F102+I102+L102+O102</f>
        <v>58</v>
      </c>
    </row>
    <row r="103" spans="1:17" s="51" customFormat="1">
      <c r="A103" s="39" t="s">
        <v>231</v>
      </c>
      <c r="B103" s="39" t="s">
        <v>489</v>
      </c>
      <c r="C103" s="39" t="s">
        <v>40</v>
      </c>
      <c r="D103" s="41" t="s">
        <v>10</v>
      </c>
      <c r="E103" s="41">
        <v>64</v>
      </c>
      <c r="F103" s="88">
        <v>18</v>
      </c>
      <c r="G103" s="4">
        <v>0.56874999999999998</v>
      </c>
      <c r="H103" s="52">
        <v>75</v>
      </c>
      <c r="I103" s="52">
        <v>25</v>
      </c>
      <c r="J103" s="38">
        <v>0.5805555555555556</v>
      </c>
      <c r="K103" s="52">
        <v>51</v>
      </c>
      <c r="L103" s="52">
        <v>16</v>
      </c>
      <c r="M103" s="38">
        <v>0.58472222222222225</v>
      </c>
      <c r="P103" s="4"/>
      <c r="Q103" s="51">
        <f t="shared" si="4"/>
        <v>59</v>
      </c>
    </row>
    <row r="104" spans="1:17" s="51" customFormat="1">
      <c r="A104" s="51" t="s">
        <v>47</v>
      </c>
      <c r="B104" s="51" t="s">
        <v>45</v>
      </c>
      <c r="C104" s="55" t="s">
        <v>174</v>
      </c>
      <c r="D104" s="44" t="s">
        <v>10</v>
      </c>
      <c r="E104" s="51">
        <v>28</v>
      </c>
      <c r="F104" s="88">
        <v>5</v>
      </c>
      <c r="G104" s="6">
        <v>0.5083333333333333</v>
      </c>
      <c r="H104" s="52"/>
      <c r="I104" s="52">
        <v>32</v>
      </c>
      <c r="J104" s="38"/>
      <c r="K104" s="52"/>
      <c r="L104" s="52">
        <v>24</v>
      </c>
      <c r="M104" s="38"/>
      <c r="P104" s="4"/>
      <c r="Q104" s="51">
        <f t="shared" si="4"/>
        <v>61</v>
      </c>
    </row>
    <row r="105" spans="1:17" s="51" customFormat="1">
      <c r="A105" s="39" t="s">
        <v>232</v>
      </c>
      <c r="B105" s="39" t="s">
        <v>233</v>
      </c>
      <c r="C105" s="39" t="s">
        <v>40</v>
      </c>
      <c r="D105" s="41" t="s">
        <v>10</v>
      </c>
      <c r="E105" s="41">
        <v>74</v>
      </c>
      <c r="F105" s="88">
        <v>23</v>
      </c>
      <c r="G105" s="4">
        <v>0.58611111111111114</v>
      </c>
      <c r="H105" s="52">
        <v>56</v>
      </c>
      <c r="I105" s="52">
        <v>15</v>
      </c>
      <c r="J105" s="38">
        <v>0.53402777777777777</v>
      </c>
      <c r="K105" s="52"/>
      <c r="L105" s="52">
        <v>24</v>
      </c>
      <c r="M105" s="38"/>
      <c r="P105" s="4"/>
      <c r="Q105" s="51">
        <f t="shared" si="4"/>
        <v>62</v>
      </c>
    </row>
    <row r="106" spans="1:17" s="51" customFormat="1">
      <c r="A106" s="51" t="s">
        <v>167</v>
      </c>
      <c r="B106" s="51" t="s">
        <v>83</v>
      </c>
      <c r="C106" s="55" t="s">
        <v>15</v>
      </c>
      <c r="D106" s="44" t="s">
        <v>10</v>
      </c>
      <c r="E106" s="51">
        <v>39</v>
      </c>
      <c r="F106" s="88">
        <v>7</v>
      </c>
      <c r="G106" s="6">
        <v>0.53194444444444444</v>
      </c>
      <c r="H106" s="52"/>
      <c r="I106" s="52">
        <v>32</v>
      </c>
      <c r="J106" s="38"/>
      <c r="K106" s="52"/>
      <c r="L106" s="52">
        <v>24</v>
      </c>
      <c r="M106" s="38"/>
      <c r="P106" s="4"/>
      <c r="Q106" s="51">
        <f t="shared" si="4"/>
        <v>63</v>
      </c>
    </row>
    <row r="107" spans="1:17" s="51" customFormat="1">
      <c r="A107" s="39" t="s">
        <v>245</v>
      </c>
      <c r="B107" s="39" t="s">
        <v>237</v>
      </c>
      <c r="C107" s="39" t="s">
        <v>40</v>
      </c>
      <c r="D107" s="41" t="s">
        <v>10</v>
      </c>
      <c r="E107" s="41">
        <v>70</v>
      </c>
      <c r="F107" s="88">
        <v>21</v>
      </c>
      <c r="G107" s="4">
        <v>0.57777777777777783</v>
      </c>
      <c r="H107" s="52">
        <v>69</v>
      </c>
      <c r="I107" s="52">
        <v>21</v>
      </c>
      <c r="J107" s="38">
        <v>0.5708333333333333</v>
      </c>
      <c r="K107" s="52"/>
      <c r="L107" s="52">
        <v>24</v>
      </c>
      <c r="M107" s="38"/>
      <c r="P107" s="4"/>
      <c r="Q107" s="51">
        <f t="shared" si="4"/>
        <v>66</v>
      </c>
    </row>
    <row r="108" spans="1:17" s="51" customFormat="1">
      <c r="A108" s="39" t="s">
        <v>193</v>
      </c>
      <c r="B108" s="39" t="s">
        <v>194</v>
      </c>
      <c r="C108" s="55" t="s">
        <v>23</v>
      </c>
      <c r="D108" s="44" t="s">
        <v>10</v>
      </c>
      <c r="E108" s="42">
        <v>47</v>
      </c>
      <c r="F108" s="88">
        <v>10</v>
      </c>
      <c r="G108" s="4">
        <v>0.54791666666666672</v>
      </c>
      <c r="H108" s="52"/>
      <c r="I108" s="52">
        <v>32</v>
      </c>
      <c r="J108" s="38"/>
      <c r="K108" s="52"/>
      <c r="L108" s="52">
        <v>24</v>
      </c>
      <c r="M108" s="38"/>
      <c r="P108" s="4"/>
      <c r="Q108" s="51">
        <f t="shared" si="4"/>
        <v>66</v>
      </c>
    </row>
    <row r="109" spans="1:17" s="51" customFormat="1">
      <c r="A109" s="39" t="s">
        <v>523</v>
      </c>
      <c r="B109" s="39" t="s">
        <v>688</v>
      </c>
      <c r="C109" s="55" t="s">
        <v>23</v>
      </c>
      <c r="D109" s="44" t="s">
        <v>10</v>
      </c>
      <c r="F109" s="53">
        <v>38</v>
      </c>
      <c r="G109" s="6"/>
      <c r="H109" s="52">
        <v>35</v>
      </c>
      <c r="I109" s="52">
        <v>5</v>
      </c>
      <c r="J109" s="38">
        <v>0.4993055555555555</v>
      </c>
      <c r="K109" s="93"/>
      <c r="L109" s="52">
        <v>24</v>
      </c>
      <c r="M109" s="4"/>
      <c r="P109" s="4"/>
      <c r="Q109" s="51">
        <f t="shared" si="4"/>
        <v>67</v>
      </c>
    </row>
    <row r="110" spans="1:17" s="51" customFormat="1">
      <c r="A110" s="39" t="s">
        <v>263</v>
      </c>
      <c r="B110" s="39" t="s">
        <v>35</v>
      </c>
      <c r="C110" s="39" t="s">
        <v>11</v>
      </c>
      <c r="D110" s="41" t="s">
        <v>10</v>
      </c>
      <c r="E110" s="41">
        <v>52</v>
      </c>
      <c r="F110" s="88">
        <v>11</v>
      </c>
      <c r="G110" s="4">
        <v>0.55833333333333335</v>
      </c>
      <c r="H110" s="52"/>
      <c r="I110" s="52">
        <v>32</v>
      </c>
      <c r="J110" s="38"/>
      <c r="K110" s="52"/>
      <c r="L110" s="52">
        <v>24</v>
      </c>
      <c r="M110" s="38"/>
      <c r="P110" s="4"/>
      <c r="Q110" s="51">
        <f t="shared" si="4"/>
        <v>67</v>
      </c>
    </row>
    <row r="111" spans="1:17" s="51" customFormat="1">
      <c r="A111" s="51" t="s">
        <v>530</v>
      </c>
      <c r="B111" s="51" t="s">
        <v>531</v>
      </c>
      <c r="C111" s="51" t="s">
        <v>529</v>
      </c>
      <c r="D111" s="44" t="s">
        <v>10</v>
      </c>
      <c r="F111" s="88">
        <v>38</v>
      </c>
      <c r="G111" s="6"/>
      <c r="H111" s="52">
        <v>38</v>
      </c>
      <c r="I111" s="52">
        <v>6</v>
      </c>
      <c r="J111" s="38">
        <v>0.50347222222222221</v>
      </c>
      <c r="K111" s="52"/>
      <c r="L111" s="52">
        <v>24</v>
      </c>
      <c r="M111" s="38"/>
      <c r="P111" s="4"/>
      <c r="Q111" s="51">
        <f t="shared" si="4"/>
        <v>68</v>
      </c>
    </row>
    <row r="112" spans="1:17" s="51" customFormat="1">
      <c r="A112" s="39" t="s">
        <v>167</v>
      </c>
      <c r="B112" s="39" t="s">
        <v>216</v>
      </c>
      <c r="C112" s="39" t="s">
        <v>214</v>
      </c>
      <c r="D112" s="41" t="s">
        <v>10</v>
      </c>
      <c r="E112" s="41">
        <v>75</v>
      </c>
      <c r="F112" s="88">
        <v>24</v>
      </c>
      <c r="G112" s="4">
        <v>0.58680555555555558</v>
      </c>
      <c r="H112" s="52">
        <v>67</v>
      </c>
      <c r="I112" s="52">
        <v>20</v>
      </c>
      <c r="J112" s="38">
        <v>0.56527777777777777</v>
      </c>
      <c r="K112" s="52"/>
      <c r="L112" s="52">
        <v>24</v>
      </c>
      <c r="M112" s="38"/>
      <c r="P112" s="4"/>
      <c r="Q112" s="51">
        <f t="shared" si="4"/>
        <v>68</v>
      </c>
    </row>
    <row r="113" spans="1:17" s="51" customFormat="1">
      <c r="A113" s="39" t="s">
        <v>195</v>
      </c>
      <c r="B113" s="39" t="s">
        <v>196</v>
      </c>
      <c r="C113" s="55" t="s">
        <v>23</v>
      </c>
      <c r="D113" s="44" t="s">
        <v>10</v>
      </c>
      <c r="E113" s="42">
        <v>53</v>
      </c>
      <c r="F113" s="88">
        <v>12</v>
      </c>
      <c r="G113" s="4">
        <v>0.55902777777777779</v>
      </c>
      <c r="H113" s="52"/>
      <c r="I113" s="52">
        <v>32</v>
      </c>
      <c r="J113" s="38"/>
      <c r="K113" s="52"/>
      <c r="L113" s="52">
        <v>24</v>
      </c>
      <c r="M113" s="38"/>
      <c r="P113" s="4"/>
      <c r="Q113" s="51">
        <f t="shared" si="4"/>
        <v>68</v>
      </c>
    </row>
    <row r="114" spans="1:17" s="51" customFormat="1">
      <c r="A114" s="39" t="s">
        <v>229</v>
      </c>
      <c r="B114" s="39" t="s">
        <v>230</v>
      </c>
      <c r="C114" s="39" t="s">
        <v>40</v>
      </c>
      <c r="D114" s="41" t="s">
        <v>10</v>
      </c>
      <c r="E114" s="41">
        <v>56</v>
      </c>
      <c r="F114" s="88">
        <v>13</v>
      </c>
      <c r="G114" s="4">
        <v>0.5625</v>
      </c>
      <c r="H114" s="52"/>
      <c r="I114" s="52">
        <v>32</v>
      </c>
      <c r="J114" s="38"/>
      <c r="K114" s="52"/>
      <c r="L114" s="52">
        <v>24</v>
      </c>
      <c r="M114" s="38"/>
      <c r="P114" s="4"/>
      <c r="Q114" s="51">
        <f t="shared" si="4"/>
        <v>69</v>
      </c>
    </row>
    <row r="115" spans="1:17" s="51" customFormat="1">
      <c r="A115" s="39" t="s">
        <v>16</v>
      </c>
      <c r="B115" s="39" t="s">
        <v>258</v>
      </c>
      <c r="C115" s="39" t="s">
        <v>11</v>
      </c>
      <c r="D115" s="41" t="s">
        <v>10</v>
      </c>
      <c r="E115" s="41">
        <v>57</v>
      </c>
      <c r="F115" s="88">
        <v>14</v>
      </c>
      <c r="G115" s="4">
        <v>0.56319444444444444</v>
      </c>
      <c r="H115" s="52"/>
      <c r="I115" s="52">
        <v>32</v>
      </c>
      <c r="J115" s="38"/>
      <c r="K115" s="52"/>
      <c r="L115" s="52">
        <v>24</v>
      </c>
      <c r="M115" s="38"/>
      <c r="P115" s="4"/>
      <c r="Q115" s="51">
        <f t="shared" si="4"/>
        <v>70</v>
      </c>
    </row>
    <row r="116" spans="1:17" s="51" customFormat="1">
      <c r="A116" s="51" t="s">
        <v>518</v>
      </c>
      <c r="B116" s="51" t="s">
        <v>519</v>
      </c>
      <c r="C116" s="55" t="s">
        <v>15</v>
      </c>
      <c r="D116" s="44" t="s">
        <v>10</v>
      </c>
      <c r="F116" s="88">
        <v>38</v>
      </c>
      <c r="G116" s="4"/>
      <c r="H116" s="52">
        <v>44</v>
      </c>
      <c r="I116" s="52">
        <v>9</v>
      </c>
      <c r="J116" s="38">
        <v>0.51111111111111118</v>
      </c>
      <c r="K116" s="52"/>
      <c r="L116" s="52">
        <v>24</v>
      </c>
      <c r="M116" s="38"/>
      <c r="P116" s="4"/>
      <c r="Q116" s="51">
        <f t="shared" si="4"/>
        <v>71</v>
      </c>
    </row>
    <row r="117" spans="1:17" s="51" customFormat="1">
      <c r="A117" s="51" t="s">
        <v>161</v>
      </c>
      <c r="B117" s="51" t="s">
        <v>74</v>
      </c>
      <c r="C117" s="51" t="s">
        <v>18</v>
      </c>
      <c r="D117" s="44" t="s">
        <v>10</v>
      </c>
      <c r="E117" s="51">
        <v>58</v>
      </c>
      <c r="F117" s="88">
        <v>15</v>
      </c>
      <c r="G117" s="4">
        <v>0.56319444444444444</v>
      </c>
      <c r="H117" s="52"/>
      <c r="I117" s="52">
        <v>32</v>
      </c>
      <c r="J117" s="38"/>
      <c r="K117" s="52"/>
      <c r="L117" s="52">
        <v>24</v>
      </c>
      <c r="M117" s="38"/>
      <c r="P117" s="4"/>
      <c r="Q117" s="51">
        <f t="shared" si="4"/>
        <v>71</v>
      </c>
    </row>
    <row r="118" spans="1:17" s="51" customFormat="1">
      <c r="A118" s="39" t="s">
        <v>704</v>
      </c>
      <c r="B118" s="39" t="s">
        <v>45</v>
      </c>
      <c r="C118" s="55" t="s">
        <v>174</v>
      </c>
      <c r="D118" s="44" t="s">
        <v>10</v>
      </c>
      <c r="F118" s="88">
        <v>38</v>
      </c>
      <c r="G118" s="6"/>
      <c r="H118" s="52"/>
      <c r="I118" s="52">
        <v>32</v>
      </c>
      <c r="J118" s="38"/>
      <c r="K118" s="93">
        <v>7</v>
      </c>
      <c r="L118" s="52">
        <v>2</v>
      </c>
      <c r="M118" s="104">
        <v>0.47083333333333338</v>
      </c>
      <c r="P118" s="4"/>
      <c r="Q118" s="51">
        <f t="shared" si="4"/>
        <v>72</v>
      </c>
    </row>
    <row r="119" spans="1:17" s="51" customFormat="1">
      <c r="A119" s="39" t="s">
        <v>217</v>
      </c>
      <c r="B119" s="39" t="s">
        <v>218</v>
      </c>
      <c r="C119" s="39" t="s">
        <v>214</v>
      </c>
      <c r="D119" s="41" t="s">
        <v>10</v>
      </c>
      <c r="E119" s="41">
        <v>88</v>
      </c>
      <c r="F119" s="88">
        <v>32</v>
      </c>
      <c r="G119" s="4">
        <v>0.62986111111111109</v>
      </c>
      <c r="H119" s="52">
        <v>70</v>
      </c>
      <c r="I119" s="52">
        <v>22</v>
      </c>
      <c r="J119" s="38">
        <v>0.57638888888888895</v>
      </c>
      <c r="K119" s="52">
        <v>56</v>
      </c>
      <c r="L119" s="52">
        <v>19</v>
      </c>
      <c r="M119" s="38">
        <v>0.61527777777777781</v>
      </c>
      <c r="P119" s="4"/>
      <c r="Q119" s="51">
        <f t="shared" si="4"/>
        <v>73</v>
      </c>
    </row>
    <row r="120" spans="1:17" s="51" customFormat="1">
      <c r="A120" s="39" t="s">
        <v>552</v>
      </c>
      <c r="B120" s="39" t="s">
        <v>688</v>
      </c>
      <c r="C120" s="55" t="s">
        <v>23</v>
      </c>
      <c r="D120" s="44" t="s">
        <v>10</v>
      </c>
      <c r="F120" s="53">
        <v>38</v>
      </c>
      <c r="G120" s="6"/>
      <c r="H120" s="52">
        <v>51</v>
      </c>
      <c r="I120" s="52">
        <v>11</v>
      </c>
      <c r="J120" s="38">
        <v>0.52500000000000002</v>
      </c>
      <c r="K120" s="93"/>
      <c r="L120" s="52">
        <v>24</v>
      </c>
      <c r="M120" s="4"/>
      <c r="P120" s="4"/>
      <c r="Q120" s="51">
        <f t="shared" si="4"/>
        <v>73</v>
      </c>
    </row>
    <row r="121" spans="1:17" s="51" customFormat="1">
      <c r="A121" s="51" t="s">
        <v>540</v>
      </c>
      <c r="B121" s="51" t="s">
        <v>541</v>
      </c>
      <c r="C121" s="55" t="s">
        <v>174</v>
      </c>
      <c r="D121" s="44" t="s">
        <v>10</v>
      </c>
      <c r="F121" s="53">
        <v>38</v>
      </c>
      <c r="G121" s="6"/>
      <c r="H121" s="52">
        <v>55</v>
      </c>
      <c r="I121" s="52">
        <v>14</v>
      </c>
      <c r="J121" s="38">
        <v>0.53055555555555556</v>
      </c>
      <c r="K121" s="93"/>
      <c r="L121" s="52">
        <v>24</v>
      </c>
      <c r="M121" s="4"/>
      <c r="P121" s="4"/>
      <c r="Q121" s="51">
        <f t="shared" si="4"/>
        <v>76</v>
      </c>
    </row>
    <row r="122" spans="1:17" s="51" customFormat="1">
      <c r="A122" s="39" t="s">
        <v>86</v>
      </c>
      <c r="B122" s="39" t="s">
        <v>27</v>
      </c>
      <c r="C122" s="39" t="s">
        <v>11</v>
      </c>
      <c r="D122" s="41" t="s">
        <v>10</v>
      </c>
      <c r="E122" s="41">
        <v>67</v>
      </c>
      <c r="F122" s="88">
        <v>20</v>
      </c>
      <c r="G122" s="4">
        <v>0.5756944444444444</v>
      </c>
      <c r="H122" s="52"/>
      <c r="I122" s="52">
        <v>32</v>
      </c>
      <c r="J122" s="38"/>
      <c r="K122" s="52"/>
      <c r="L122" s="52">
        <v>24</v>
      </c>
      <c r="M122" s="38"/>
      <c r="P122" s="4"/>
      <c r="Q122" s="51">
        <f t="shared" si="4"/>
        <v>76</v>
      </c>
    </row>
    <row r="123" spans="1:17" s="51" customFormat="1">
      <c r="A123" s="39" t="s">
        <v>700</v>
      </c>
      <c r="B123" s="39" t="s">
        <v>194</v>
      </c>
      <c r="C123" s="55" t="s">
        <v>23</v>
      </c>
      <c r="D123" s="44" t="s">
        <v>10</v>
      </c>
      <c r="E123" s="42"/>
      <c r="F123" s="53">
        <v>38</v>
      </c>
      <c r="G123" s="6"/>
      <c r="H123" s="52"/>
      <c r="I123" s="52">
        <v>32</v>
      </c>
      <c r="J123" s="38"/>
      <c r="K123" s="93">
        <v>35</v>
      </c>
      <c r="L123" s="52">
        <v>8</v>
      </c>
      <c r="M123" s="104">
        <v>0.54236111111111118</v>
      </c>
      <c r="P123" s="4"/>
      <c r="Q123" s="51">
        <f t="shared" si="4"/>
        <v>78</v>
      </c>
    </row>
    <row r="124" spans="1:17" s="51" customFormat="1">
      <c r="A124" s="39" t="s">
        <v>96</v>
      </c>
      <c r="B124" s="39" t="s">
        <v>228</v>
      </c>
      <c r="C124" s="39" t="s">
        <v>40</v>
      </c>
      <c r="D124" s="41" t="s">
        <v>10</v>
      </c>
      <c r="E124" s="41"/>
      <c r="F124" s="53">
        <v>38</v>
      </c>
      <c r="G124" s="6"/>
      <c r="H124" s="52"/>
      <c r="I124" s="52">
        <v>32</v>
      </c>
      <c r="J124" s="38"/>
      <c r="K124" s="93">
        <v>39</v>
      </c>
      <c r="L124" s="52">
        <v>9</v>
      </c>
      <c r="M124" s="104">
        <v>0.54861111111111105</v>
      </c>
      <c r="P124" s="4"/>
      <c r="Q124" s="51">
        <f t="shared" si="4"/>
        <v>79</v>
      </c>
    </row>
    <row r="125" spans="1:17" s="51" customFormat="1">
      <c r="A125" s="39" t="s">
        <v>238</v>
      </c>
      <c r="B125" s="39" t="s">
        <v>39</v>
      </c>
      <c r="C125" s="39" t="s">
        <v>40</v>
      </c>
      <c r="D125" s="41" t="s">
        <v>10</v>
      </c>
      <c r="E125" s="41">
        <v>84</v>
      </c>
      <c r="F125" s="88">
        <v>29</v>
      </c>
      <c r="G125" s="4">
        <v>0.6069444444444444</v>
      </c>
      <c r="H125" s="52">
        <v>78</v>
      </c>
      <c r="I125" s="52">
        <v>26</v>
      </c>
      <c r="J125" s="38">
        <v>0.60069444444444442</v>
      </c>
      <c r="K125" s="52"/>
      <c r="L125" s="52">
        <v>24</v>
      </c>
      <c r="M125" s="38"/>
      <c r="P125" s="4"/>
      <c r="Q125" s="51">
        <f t="shared" si="4"/>
        <v>79</v>
      </c>
    </row>
    <row r="126" spans="1:17" s="51" customFormat="1">
      <c r="A126" s="51" t="s">
        <v>521</v>
      </c>
      <c r="B126" s="51" t="s">
        <v>522</v>
      </c>
      <c r="C126" s="55" t="s">
        <v>15</v>
      </c>
      <c r="D126" s="44" t="s">
        <v>10</v>
      </c>
      <c r="F126" s="88">
        <v>38</v>
      </c>
      <c r="G126" s="4"/>
      <c r="H126" s="52">
        <v>63</v>
      </c>
      <c r="I126" s="52">
        <v>18</v>
      </c>
      <c r="J126" s="38">
        <v>0.55277777777777781</v>
      </c>
      <c r="K126" s="52"/>
      <c r="L126" s="52">
        <v>24</v>
      </c>
      <c r="M126" s="38"/>
      <c r="P126" s="4"/>
      <c r="Q126" s="51">
        <f t="shared" si="4"/>
        <v>80</v>
      </c>
    </row>
    <row r="127" spans="1:17" s="51" customFormat="1">
      <c r="A127" s="39" t="s">
        <v>198</v>
      </c>
      <c r="B127" s="39" t="s">
        <v>199</v>
      </c>
      <c r="C127" s="55" t="s">
        <v>23</v>
      </c>
      <c r="D127" s="44" t="s">
        <v>10</v>
      </c>
      <c r="E127" s="41">
        <v>78</v>
      </c>
      <c r="F127" s="88">
        <v>26</v>
      </c>
      <c r="G127" s="4">
        <v>0.59583333333333333</v>
      </c>
      <c r="H127" s="52"/>
      <c r="I127" s="52">
        <v>32</v>
      </c>
      <c r="J127" s="38"/>
      <c r="K127" s="52"/>
      <c r="L127" s="52">
        <v>24</v>
      </c>
      <c r="M127" s="38"/>
      <c r="P127" s="4"/>
      <c r="Q127" s="51">
        <f t="shared" si="4"/>
        <v>82</v>
      </c>
    </row>
    <row r="128" spans="1:17" s="51" customFormat="1">
      <c r="A128" s="51" t="s">
        <v>162</v>
      </c>
      <c r="B128" s="51" t="s">
        <v>69</v>
      </c>
      <c r="C128" s="51" t="s">
        <v>163</v>
      </c>
      <c r="D128" s="44" t="s">
        <v>10</v>
      </c>
      <c r="E128" s="51">
        <v>79</v>
      </c>
      <c r="F128" s="88">
        <v>27</v>
      </c>
      <c r="G128" s="4">
        <v>0.59722222222222221</v>
      </c>
      <c r="H128" s="52"/>
      <c r="I128" s="52">
        <v>32</v>
      </c>
      <c r="J128" s="38"/>
      <c r="K128" s="52"/>
      <c r="L128" s="52">
        <v>24</v>
      </c>
      <c r="M128" s="38"/>
      <c r="P128" s="4"/>
      <c r="Q128" s="51">
        <f t="shared" si="4"/>
        <v>83</v>
      </c>
    </row>
    <row r="129" spans="1:17" s="51" customFormat="1">
      <c r="A129" s="39" t="s">
        <v>701</v>
      </c>
      <c r="B129" s="39" t="s">
        <v>702</v>
      </c>
      <c r="C129" s="55" t="s">
        <v>23</v>
      </c>
      <c r="D129" s="44" t="s">
        <v>10</v>
      </c>
      <c r="F129" s="53">
        <v>38</v>
      </c>
      <c r="G129" s="6"/>
      <c r="H129" s="52"/>
      <c r="I129" s="52">
        <v>32</v>
      </c>
      <c r="J129" s="38"/>
      <c r="K129" s="93">
        <v>48</v>
      </c>
      <c r="L129" s="52">
        <v>14</v>
      </c>
      <c r="M129" s="104">
        <v>0.57708333333333328</v>
      </c>
      <c r="P129" s="4"/>
      <c r="Q129" s="51">
        <f t="shared" si="4"/>
        <v>84</v>
      </c>
    </row>
    <row r="130" spans="1:17" s="51" customFormat="1">
      <c r="A130" s="39" t="s">
        <v>234</v>
      </c>
      <c r="B130" s="39" t="s">
        <v>75</v>
      </c>
      <c r="C130" s="39" t="s">
        <v>40</v>
      </c>
      <c r="D130" s="41" t="s">
        <v>10</v>
      </c>
      <c r="E130" s="41">
        <v>80</v>
      </c>
      <c r="F130" s="88">
        <v>28</v>
      </c>
      <c r="G130" s="4">
        <v>0.6</v>
      </c>
      <c r="H130" s="52"/>
      <c r="I130" s="52">
        <v>32</v>
      </c>
      <c r="J130" s="38"/>
      <c r="K130" s="52"/>
      <c r="L130" s="52">
        <v>24</v>
      </c>
      <c r="M130" s="38"/>
      <c r="P130" s="4"/>
      <c r="Q130" s="51">
        <f t="shared" si="4"/>
        <v>84</v>
      </c>
    </row>
    <row r="131" spans="1:17" s="51" customFormat="1" ht="12.75" customHeight="1">
      <c r="A131" s="39" t="s">
        <v>593</v>
      </c>
      <c r="B131" s="39" t="s">
        <v>196</v>
      </c>
      <c r="C131" s="55" t="s">
        <v>23</v>
      </c>
      <c r="D131" s="44" t="s">
        <v>10</v>
      </c>
      <c r="F131" s="88">
        <v>38</v>
      </c>
      <c r="G131" s="6"/>
      <c r="H131" s="52"/>
      <c r="I131" s="52">
        <v>32</v>
      </c>
      <c r="J131" s="38"/>
      <c r="K131" s="52">
        <v>49</v>
      </c>
      <c r="L131" s="52">
        <v>15</v>
      </c>
      <c r="M131" s="38">
        <v>0.58263888888888882</v>
      </c>
      <c r="P131" s="4"/>
      <c r="Q131" s="51">
        <f t="shared" si="4"/>
        <v>85</v>
      </c>
    </row>
    <row r="132" spans="1:17" s="51" customFormat="1">
      <c r="A132" s="56" t="s">
        <v>523</v>
      </c>
      <c r="B132" s="56" t="s">
        <v>524</v>
      </c>
      <c r="C132" s="55" t="s">
        <v>15</v>
      </c>
      <c r="D132" s="44" t="s">
        <v>10</v>
      </c>
      <c r="F132" s="88">
        <v>38</v>
      </c>
      <c r="G132" s="4"/>
      <c r="H132" s="52">
        <v>81</v>
      </c>
      <c r="I132" s="52">
        <v>28</v>
      </c>
      <c r="J132" s="38">
        <v>0.62152777777777779</v>
      </c>
      <c r="K132" s="52">
        <v>57</v>
      </c>
      <c r="L132" s="52">
        <v>20</v>
      </c>
      <c r="M132" s="38">
        <v>0.62708333333333333</v>
      </c>
      <c r="P132" s="4"/>
      <c r="Q132" s="51">
        <f t="shared" si="4"/>
        <v>86</v>
      </c>
    </row>
    <row r="133" spans="1:17" s="51" customFormat="1">
      <c r="A133" s="39" t="s">
        <v>553</v>
      </c>
      <c r="B133" s="39" t="s">
        <v>554</v>
      </c>
      <c r="C133" s="55" t="s">
        <v>23</v>
      </c>
      <c r="D133" s="44" t="s">
        <v>10</v>
      </c>
      <c r="F133" s="53">
        <v>38</v>
      </c>
      <c r="G133" s="6"/>
      <c r="H133" s="52">
        <v>73</v>
      </c>
      <c r="I133" s="52">
        <v>24</v>
      </c>
      <c r="J133" s="38">
        <v>0.57916666666666672</v>
      </c>
      <c r="K133" s="93"/>
      <c r="L133" s="52">
        <v>24</v>
      </c>
      <c r="M133" s="4"/>
      <c r="P133" s="4"/>
      <c r="Q133" s="51">
        <f t="shared" si="4"/>
        <v>86</v>
      </c>
    </row>
    <row r="134" spans="1:17" s="51" customFormat="1">
      <c r="A134" s="39" t="s">
        <v>236</v>
      </c>
      <c r="B134" s="39" t="s">
        <v>237</v>
      </c>
      <c r="C134" s="39" t="s">
        <v>40</v>
      </c>
      <c r="D134" s="41" t="s">
        <v>10</v>
      </c>
      <c r="E134" s="41">
        <v>89</v>
      </c>
      <c r="F134" s="88">
        <v>33</v>
      </c>
      <c r="G134" s="4">
        <v>0.63472222222222219</v>
      </c>
      <c r="H134" s="52">
        <v>83</v>
      </c>
      <c r="I134" s="52">
        <v>29</v>
      </c>
      <c r="J134" s="38">
        <v>0.63888888888888895</v>
      </c>
      <c r="K134" s="52"/>
      <c r="L134" s="52">
        <v>24</v>
      </c>
      <c r="M134" s="38"/>
      <c r="P134" s="4"/>
      <c r="Q134" s="51">
        <f t="shared" ref="Q134:Q148" si="5">F134+I134+L134+O134</f>
        <v>86</v>
      </c>
    </row>
    <row r="135" spans="1:17" s="51" customFormat="1">
      <c r="A135" s="39" t="s">
        <v>235</v>
      </c>
      <c r="B135" s="39" t="s">
        <v>76</v>
      </c>
      <c r="C135" s="39" t="s">
        <v>40</v>
      </c>
      <c r="D135" s="41" t="s">
        <v>10</v>
      </c>
      <c r="E135" s="41">
        <v>85</v>
      </c>
      <c r="F135" s="88">
        <v>30</v>
      </c>
      <c r="G135" s="4">
        <v>0.60972222222222217</v>
      </c>
      <c r="H135" s="52"/>
      <c r="I135" s="52">
        <v>32</v>
      </c>
      <c r="J135" s="38"/>
      <c r="K135" s="52"/>
      <c r="L135" s="52">
        <v>24</v>
      </c>
      <c r="M135" s="38"/>
      <c r="P135" s="4"/>
      <c r="Q135" s="51">
        <f t="shared" si="5"/>
        <v>86</v>
      </c>
    </row>
    <row r="136" spans="1:17" s="51" customFormat="1">
      <c r="A136" s="51" t="s">
        <v>292</v>
      </c>
      <c r="B136" s="51" t="s">
        <v>694</v>
      </c>
      <c r="C136" s="51" t="s">
        <v>9</v>
      </c>
      <c r="D136" s="44" t="s">
        <v>10</v>
      </c>
      <c r="F136" s="88">
        <v>38</v>
      </c>
      <c r="G136" s="6"/>
      <c r="H136" s="52"/>
      <c r="I136" s="52">
        <v>32</v>
      </c>
      <c r="J136" s="38"/>
      <c r="K136" s="52">
        <v>52</v>
      </c>
      <c r="L136" s="52">
        <v>17</v>
      </c>
      <c r="M136" s="38">
        <v>0.58819444444444446</v>
      </c>
      <c r="P136" s="4"/>
      <c r="Q136" s="51">
        <f t="shared" si="5"/>
        <v>87</v>
      </c>
    </row>
    <row r="137" spans="1:17" s="51" customFormat="1">
      <c r="A137" s="39" t="s">
        <v>241</v>
      </c>
      <c r="B137" s="39" t="s">
        <v>242</v>
      </c>
      <c r="C137" s="39" t="s">
        <v>40</v>
      </c>
      <c r="D137" s="41" t="s">
        <v>10</v>
      </c>
      <c r="E137" s="41">
        <v>86</v>
      </c>
      <c r="F137" s="88">
        <v>31</v>
      </c>
      <c r="G137" s="4">
        <v>0.61041666666666672</v>
      </c>
      <c r="H137" s="52"/>
      <c r="I137" s="52">
        <v>32</v>
      </c>
      <c r="J137" s="38"/>
      <c r="K137" s="52"/>
      <c r="L137" s="52">
        <v>24</v>
      </c>
      <c r="M137" s="38"/>
      <c r="P137" s="4"/>
      <c r="Q137" s="51">
        <f t="shared" si="5"/>
        <v>87</v>
      </c>
    </row>
    <row r="138" spans="1:17" s="51" customFormat="1">
      <c r="A138" s="39" t="s">
        <v>708</v>
      </c>
      <c r="B138" s="39" t="s">
        <v>709</v>
      </c>
      <c r="C138" s="39" t="s">
        <v>214</v>
      </c>
      <c r="D138" s="41" t="s">
        <v>10</v>
      </c>
      <c r="E138" s="41"/>
      <c r="F138" s="88">
        <v>38</v>
      </c>
      <c r="G138" s="4"/>
      <c r="H138" s="52"/>
      <c r="I138" s="52">
        <v>32</v>
      </c>
      <c r="J138" s="38"/>
      <c r="K138" s="52">
        <v>54</v>
      </c>
      <c r="L138" s="52">
        <v>18</v>
      </c>
      <c r="M138" s="38">
        <v>0.60416666666666663</v>
      </c>
      <c r="P138" s="4"/>
      <c r="Q138" s="51">
        <f t="shared" si="5"/>
        <v>88</v>
      </c>
    </row>
    <row r="139" spans="1:17" s="51" customFormat="1">
      <c r="A139" s="39" t="s">
        <v>543</v>
      </c>
      <c r="B139" s="39" t="s">
        <v>544</v>
      </c>
      <c r="C139" s="39" t="s">
        <v>207</v>
      </c>
      <c r="D139" s="41" t="s">
        <v>10</v>
      </c>
      <c r="E139" s="41"/>
      <c r="F139" s="88">
        <v>38</v>
      </c>
      <c r="G139" s="4"/>
      <c r="H139" s="52">
        <v>79</v>
      </c>
      <c r="I139" s="52">
        <v>27</v>
      </c>
      <c r="J139" s="38">
        <v>0.60277777777777775</v>
      </c>
      <c r="K139" s="93"/>
      <c r="L139" s="52">
        <v>24</v>
      </c>
      <c r="M139" s="4"/>
      <c r="P139" s="4"/>
      <c r="Q139" s="51">
        <f t="shared" si="5"/>
        <v>89</v>
      </c>
    </row>
    <row r="140" spans="1:17" s="51" customFormat="1">
      <c r="A140" s="39" t="s">
        <v>246</v>
      </c>
      <c r="B140" s="39" t="s">
        <v>247</v>
      </c>
      <c r="C140" s="39" t="s">
        <v>11</v>
      </c>
      <c r="D140" s="41" t="s">
        <v>10</v>
      </c>
      <c r="E140" s="41">
        <v>90</v>
      </c>
      <c r="F140" s="88">
        <v>34</v>
      </c>
      <c r="G140" s="4">
        <v>0.64722222222222225</v>
      </c>
      <c r="H140" s="52"/>
      <c r="I140" s="52">
        <v>32</v>
      </c>
      <c r="J140" s="38"/>
      <c r="K140" s="52"/>
      <c r="L140" s="52">
        <v>24</v>
      </c>
      <c r="M140" s="38"/>
      <c r="P140" s="4"/>
      <c r="Q140" s="51">
        <f t="shared" si="5"/>
        <v>90</v>
      </c>
    </row>
    <row r="141" spans="1:17" s="51" customFormat="1">
      <c r="A141" s="39" t="s">
        <v>698</v>
      </c>
      <c r="B141" s="39" t="s">
        <v>699</v>
      </c>
      <c r="C141" s="39" t="s">
        <v>11</v>
      </c>
      <c r="D141" s="41" t="s">
        <v>10</v>
      </c>
      <c r="E141" s="41"/>
      <c r="F141" s="88">
        <v>38</v>
      </c>
      <c r="G141" s="4"/>
      <c r="H141" s="52"/>
      <c r="I141" s="52">
        <v>32</v>
      </c>
      <c r="J141" s="38"/>
      <c r="K141" s="52">
        <v>58</v>
      </c>
      <c r="L141" s="52">
        <v>21</v>
      </c>
      <c r="M141" s="38">
        <v>0.65069444444444446</v>
      </c>
      <c r="P141" s="4"/>
      <c r="Q141" s="51">
        <f t="shared" si="5"/>
        <v>91</v>
      </c>
    </row>
    <row r="142" spans="1:17" s="51" customFormat="1">
      <c r="A142" s="51" t="s">
        <v>170</v>
      </c>
      <c r="B142" s="51" t="s">
        <v>449</v>
      </c>
      <c r="C142" s="55" t="s">
        <v>15</v>
      </c>
      <c r="D142" s="44" t="s">
        <v>10</v>
      </c>
      <c r="E142" s="51">
        <v>92</v>
      </c>
      <c r="F142" s="88">
        <v>35</v>
      </c>
      <c r="G142" s="4">
        <v>0.68888888888888899</v>
      </c>
      <c r="H142" s="52"/>
      <c r="I142" s="52">
        <v>32</v>
      </c>
      <c r="J142" s="38"/>
      <c r="K142" s="52"/>
      <c r="L142" s="52">
        <v>24</v>
      </c>
      <c r="M142" s="38"/>
      <c r="P142" s="4"/>
      <c r="Q142" s="51">
        <f t="shared" si="5"/>
        <v>91</v>
      </c>
    </row>
    <row r="143" spans="1:17" s="51" customFormat="1">
      <c r="A143" s="39" t="s">
        <v>239</v>
      </c>
      <c r="B143" s="39" t="s">
        <v>240</v>
      </c>
      <c r="C143" s="39" t="s">
        <v>40</v>
      </c>
      <c r="D143" s="41" t="s">
        <v>10</v>
      </c>
      <c r="E143" s="41">
        <v>93</v>
      </c>
      <c r="F143" s="88">
        <v>35</v>
      </c>
      <c r="G143" s="4">
        <v>0.6972222222222223</v>
      </c>
      <c r="H143" s="52"/>
      <c r="I143" s="52">
        <v>32</v>
      </c>
      <c r="J143" s="38"/>
      <c r="K143" s="52"/>
      <c r="L143" s="52">
        <v>24</v>
      </c>
      <c r="M143" s="38"/>
      <c r="P143" s="4"/>
      <c r="Q143" s="51">
        <f t="shared" si="5"/>
        <v>91</v>
      </c>
    </row>
    <row r="144" spans="1:17" s="51" customFormat="1">
      <c r="A144" s="39" t="s">
        <v>602</v>
      </c>
      <c r="B144" s="39" t="s">
        <v>703</v>
      </c>
      <c r="C144" s="55" t="s">
        <v>23</v>
      </c>
      <c r="D144" s="44" t="s">
        <v>10</v>
      </c>
      <c r="F144" s="88">
        <v>38</v>
      </c>
      <c r="G144" s="6"/>
      <c r="H144" s="52"/>
      <c r="I144" s="52">
        <v>32</v>
      </c>
      <c r="J144" s="38"/>
      <c r="K144" s="52">
        <v>59</v>
      </c>
      <c r="L144" s="52">
        <v>22</v>
      </c>
      <c r="M144" s="38">
        <v>0.66666666666666663</v>
      </c>
      <c r="P144" s="4"/>
      <c r="Q144" s="51">
        <f t="shared" si="5"/>
        <v>92</v>
      </c>
    </row>
    <row r="145" spans="1:17" s="36" customFormat="1">
      <c r="A145" s="39" t="s">
        <v>245</v>
      </c>
      <c r="B145" s="39" t="s">
        <v>510</v>
      </c>
      <c r="C145" s="39" t="s">
        <v>40</v>
      </c>
      <c r="D145" s="41" t="s">
        <v>10</v>
      </c>
      <c r="E145" s="41"/>
      <c r="F145" s="88">
        <v>38</v>
      </c>
      <c r="G145" s="4"/>
      <c r="H145" s="37">
        <v>84</v>
      </c>
      <c r="I145" s="37">
        <v>30</v>
      </c>
      <c r="J145" s="38">
        <v>0.67569444444444438</v>
      </c>
      <c r="K145" s="52"/>
      <c r="L145" s="52">
        <v>24</v>
      </c>
      <c r="M145" s="38"/>
      <c r="P145" s="4"/>
      <c r="Q145" s="51">
        <f t="shared" si="5"/>
        <v>92</v>
      </c>
    </row>
    <row r="146" spans="1:17" s="51" customFormat="1">
      <c r="A146" s="39" t="s">
        <v>710</v>
      </c>
      <c r="B146" s="39" t="s">
        <v>709</v>
      </c>
      <c r="C146" s="39" t="s">
        <v>214</v>
      </c>
      <c r="D146" s="41" t="s">
        <v>10</v>
      </c>
      <c r="E146" s="41"/>
      <c r="F146" s="88">
        <v>38</v>
      </c>
      <c r="G146" s="4"/>
      <c r="H146" s="52"/>
      <c r="I146" s="52">
        <v>32</v>
      </c>
      <c r="J146" s="38"/>
      <c r="K146" s="52">
        <v>60</v>
      </c>
      <c r="L146" s="52">
        <v>23</v>
      </c>
      <c r="M146" s="38">
        <v>0.68194444444444446</v>
      </c>
      <c r="P146" s="4"/>
      <c r="Q146" s="51">
        <f t="shared" si="5"/>
        <v>93</v>
      </c>
    </row>
    <row r="147" spans="1:17" s="51" customFormat="1">
      <c r="A147" s="39" t="s">
        <v>538</v>
      </c>
      <c r="B147" s="39" t="s">
        <v>539</v>
      </c>
      <c r="C147" s="39" t="s">
        <v>214</v>
      </c>
      <c r="D147" s="41" t="s">
        <v>10</v>
      </c>
      <c r="E147" s="41"/>
      <c r="F147" s="88">
        <v>38</v>
      </c>
      <c r="G147" s="4"/>
      <c r="H147" s="52">
        <v>85</v>
      </c>
      <c r="I147" s="52">
        <v>31</v>
      </c>
      <c r="J147" s="38">
        <v>0.67708333333333337</v>
      </c>
      <c r="K147" s="93"/>
      <c r="L147" s="52">
        <v>24</v>
      </c>
      <c r="M147" s="4"/>
      <c r="P147" s="4"/>
      <c r="Q147" s="51">
        <f t="shared" si="5"/>
        <v>93</v>
      </c>
    </row>
    <row r="148" spans="1:17" s="51" customFormat="1">
      <c r="A148" s="39" t="s">
        <v>121</v>
      </c>
      <c r="B148" s="39" t="s">
        <v>261</v>
      </c>
      <c r="C148" s="39" t="s">
        <v>11</v>
      </c>
      <c r="D148" s="41" t="s">
        <v>10</v>
      </c>
      <c r="E148" s="41">
        <v>96</v>
      </c>
      <c r="F148" s="88">
        <v>37</v>
      </c>
      <c r="G148" s="4">
        <v>0.74513888888888891</v>
      </c>
      <c r="H148" s="52"/>
      <c r="I148" s="52">
        <v>32</v>
      </c>
      <c r="J148" s="38"/>
      <c r="K148" s="52"/>
      <c r="L148" s="52">
        <v>24</v>
      </c>
      <c r="M148" s="38"/>
      <c r="P148" s="4"/>
      <c r="Q148" s="51">
        <f t="shared" si="5"/>
        <v>93</v>
      </c>
    </row>
    <row r="149" spans="1:17" s="51" customFormat="1">
      <c r="A149" s="39"/>
      <c r="B149" s="39"/>
      <c r="C149" s="39"/>
      <c r="D149" s="41"/>
      <c r="E149" s="41"/>
      <c r="F149" s="39"/>
      <c r="G149" s="4"/>
      <c r="H149" s="52"/>
      <c r="I149" s="52"/>
      <c r="J149" s="38"/>
      <c r="K149" s="52"/>
      <c r="L149" s="52"/>
      <c r="M149" s="38"/>
      <c r="P149" s="4"/>
    </row>
    <row r="150" spans="1:17" s="51" customFormat="1">
      <c r="A150" s="39"/>
      <c r="B150" s="39"/>
      <c r="C150" s="39"/>
      <c r="D150" s="41"/>
      <c r="E150" s="41">
        <v>97</v>
      </c>
      <c r="F150" s="41">
        <v>38</v>
      </c>
      <c r="G150" s="4"/>
      <c r="H150" s="52">
        <v>86</v>
      </c>
      <c r="I150" s="52">
        <v>55</v>
      </c>
      <c r="J150" s="38"/>
      <c r="K150" s="52"/>
      <c r="L150" s="52">
        <v>37</v>
      </c>
      <c r="M150" s="38"/>
      <c r="P150" s="4"/>
    </row>
    <row r="151" spans="1:17" s="36" customFormat="1">
      <c r="A151" s="39"/>
      <c r="B151" s="39"/>
      <c r="C151" s="39"/>
      <c r="D151" s="41"/>
      <c r="E151" s="39"/>
      <c r="F151" s="39"/>
      <c r="G151" s="4"/>
      <c r="H151" s="37"/>
      <c r="I151" s="37">
        <v>32</v>
      </c>
      <c r="J151" s="38"/>
      <c r="K151" s="52"/>
      <c r="L151" s="37">
        <v>34</v>
      </c>
      <c r="M151" s="38"/>
      <c r="P151" s="4"/>
    </row>
    <row r="152" spans="1:17" s="36" customFormat="1">
      <c r="A152" s="64" t="s">
        <v>270</v>
      </c>
      <c r="B152" s="62"/>
      <c r="C152" s="62"/>
      <c r="D152" s="105"/>
      <c r="E152" s="62"/>
      <c r="F152" s="75" t="s">
        <v>97</v>
      </c>
      <c r="G152" s="67"/>
      <c r="H152" s="67"/>
      <c r="I152" s="67" t="s">
        <v>98</v>
      </c>
      <c r="J152" s="67"/>
      <c r="K152" s="102"/>
      <c r="L152" s="67" t="s">
        <v>99</v>
      </c>
      <c r="M152" s="67"/>
      <c r="N152" s="67"/>
      <c r="O152" s="67" t="s">
        <v>100</v>
      </c>
      <c r="P152" s="67"/>
      <c r="Q152" s="67" t="s">
        <v>101</v>
      </c>
    </row>
    <row r="153" spans="1:17" s="36" customFormat="1">
      <c r="A153" s="62" t="s">
        <v>18</v>
      </c>
      <c r="B153" s="62"/>
      <c r="C153" s="62"/>
      <c r="D153" s="105" t="s">
        <v>711</v>
      </c>
      <c r="E153" s="71" t="s">
        <v>469</v>
      </c>
      <c r="F153" s="63">
        <f xml:space="preserve"> 31+60+60</f>
        <v>151</v>
      </c>
      <c r="G153" s="69" t="s">
        <v>455</v>
      </c>
      <c r="H153" s="71" t="s">
        <v>555</v>
      </c>
      <c r="I153" s="82">
        <f>55+55+55</f>
        <v>165</v>
      </c>
      <c r="J153" s="69" t="s">
        <v>108</v>
      </c>
      <c r="K153" s="103"/>
      <c r="L153" s="107">
        <f>17+38+38</f>
        <v>93</v>
      </c>
      <c r="M153" s="62" t="s">
        <v>106</v>
      </c>
      <c r="N153" s="62"/>
      <c r="O153" s="62"/>
      <c r="P153" s="62"/>
      <c r="Q153" s="62">
        <f t="shared" ref="Q153:Q162" si="6">F153+I153+L153+O153</f>
        <v>409</v>
      </c>
    </row>
    <row r="154" spans="1:17" s="36" customFormat="1">
      <c r="A154" s="136" t="s">
        <v>473</v>
      </c>
      <c r="B154" s="136"/>
      <c r="C154" s="136"/>
      <c r="D154" s="137" t="s">
        <v>269</v>
      </c>
      <c r="E154" s="138" t="s">
        <v>268</v>
      </c>
      <c r="F154" s="136">
        <f>1+2+3</f>
        <v>6</v>
      </c>
      <c r="G154" s="139" t="s">
        <v>102</v>
      </c>
      <c r="H154" s="138" t="s">
        <v>556</v>
      </c>
      <c r="I154" s="140">
        <f>2+3+10</f>
        <v>15</v>
      </c>
      <c r="J154" s="139" t="s">
        <v>109</v>
      </c>
      <c r="K154" s="141"/>
      <c r="L154" s="142">
        <f>1+2+3</f>
        <v>6</v>
      </c>
      <c r="M154" s="136" t="s">
        <v>109</v>
      </c>
      <c r="N154" s="136"/>
      <c r="O154" s="136">
        <f>N154</f>
        <v>0</v>
      </c>
      <c r="P154" s="136"/>
      <c r="Q154" s="136">
        <f t="shared" si="6"/>
        <v>27</v>
      </c>
    </row>
    <row r="155" spans="1:17" s="36" customFormat="1">
      <c r="A155" s="70" t="s">
        <v>474</v>
      </c>
      <c r="B155" s="62"/>
      <c r="C155" s="62"/>
      <c r="D155" s="105" t="s">
        <v>712</v>
      </c>
      <c r="E155" s="71" t="s">
        <v>272</v>
      </c>
      <c r="F155" s="63">
        <f xml:space="preserve"> 4+6+12</f>
        <v>22</v>
      </c>
      <c r="G155" s="69" t="s">
        <v>103</v>
      </c>
      <c r="H155" s="71" t="s">
        <v>557</v>
      </c>
      <c r="I155" s="82">
        <f>4+5+12</f>
        <v>21</v>
      </c>
      <c r="J155" s="69" t="s">
        <v>103</v>
      </c>
      <c r="K155" s="103"/>
      <c r="L155" s="107">
        <f xml:space="preserve"> 9+18+20</f>
        <v>47</v>
      </c>
      <c r="M155" s="62" t="s">
        <v>104</v>
      </c>
      <c r="N155" s="62"/>
      <c r="O155" s="62">
        <f t="shared" ref="O155:O161" si="7">N155</f>
        <v>0</v>
      </c>
      <c r="P155" s="62"/>
      <c r="Q155" s="62">
        <f t="shared" si="6"/>
        <v>90</v>
      </c>
    </row>
    <row r="156" spans="1:17" s="36" customFormat="1">
      <c r="A156" s="70" t="s">
        <v>475</v>
      </c>
      <c r="B156" s="62"/>
      <c r="C156" s="62"/>
      <c r="D156" s="105" t="s">
        <v>713</v>
      </c>
      <c r="E156" s="71" t="s">
        <v>273</v>
      </c>
      <c r="F156" s="63">
        <f xml:space="preserve"> 7+21+35</f>
        <v>63</v>
      </c>
      <c r="G156" s="69" t="s">
        <v>110</v>
      </c>
      <c r="H156" s="71" t="s">
        <v>560</v>
      </c>
      <c r="I156" s="82">
        <f>8+18+32</f>
        <v>58</v>
      </c>
      <c r="J156" s="69" t="s">
        <v>105</v>
      </c>
      <c r="K156" s="103"/>
      <c r="L156" s="99">
        <f>14+38+38</f>
        <v>90</v>
      </c>
      <c r="M156" s="62" t="s">
        <v>110</v>
      </c>
      <c r="N156" s="62"/>
      <c r="O156" s="62">
        <f t="shared" si="7"/>
        <v>0</v>
      </c>
      <c r="P156" s="62"/>
      <c r="Q156" s="62">
        <f t="shared" si="6"/>
        <v>211</v>
      </c>
    </row>
    <row r="157" spans="1:17" s="36" customFormat="1">
      <c r="A157" s="72" t="s">
        <v>40</v>
      </c>
      <c r="B157" s="62"/>
      <c r="C157" s="62"/>
      <c r="D157" s="105" t="s">
        <v>714</v>
      </c>
      <c r="E157" s="71" t="s">
        <v>274</v>
      </c>
      <c r="F157" s="63">
        <f xml:space="preserve"> 8+13+20</f>
        <v>41</v>
      </c>
      <c r="G157" s="69" t="s">
        <v>104</v>
      </c>
      <c r="H157" s="71" t="s">
        <v>693</v>
      </c>
      <c r="I157" s="82">
        <f xml:space="preserve"> 7+9+21</f>
        <v>37</v>
      </c>
      <c r="J157" s="69" t="s">
        <v>104</v>
      </c>
      <c r="K157" s="103"/>
      <c r="L157" s="99">
        <f>8+11+31</f>
        <v>50</v>
      </c>
      <c r="M157" s="62" t="s">
        <v>105</v>
      </c>
      <c r="N157" s="62"/>
      <c r="O157" s="62">
        <f t="shared" si="7"/>
        <v>0</v>
      </c>
      <c r="P157" s="62"/>
      <c r="Q157" s="62">
        <f t="shared" si="6"/>
        <v>128</v>
      </c>
    </row>
    <row r="158" spans="1:17" s="36" customFormat="1">
      <c r="A158" s="72" t="s">
        <v>267</v>
      </c>
      <c r="B158" s="62"/>
      <c r="C158" s="62"/>
      <c r="D158" s="105" t="s">
        <v>447</v>
      </c>
      <c r="E158" s="71" t="s">
        <v>275</v>
      </c>
      <c r="F158" s="76">
        <f xml:space="preserve"> 9+15+24</f>
        <v>48</v>
      </c>
      <c r="G158" s="69" t="s">
        <v>105</v>
      </c>
      <c r="H158" s="71" t="s">
        <v>561</v>
      </c>
      <c r="I158" s="82">
        <f>15+17+23</f>
        <v>55</v>
      </c>
      <c r="J158" s="69" t="s">
        <v>105</v>
      </c>
      <c r="K158" s="103"/>
      <c r="L158" s="99">
        <f>7+10+11</f>
        <v>28</v>
      </c>
      <c r="M158" s="62" t="s">
        <v>103</v>
      </c>
      <c r="N158" s="62"/>
      <c r="O158" s="62">
        <f t="shared" si="7"/>
        <v>0</v>
      </c>
      <c r="P158" s="62"/>
      <c r="Q158" s="62">
        <f t="shared" si="6"/>
        <v>131</v>
      </c>
    </row>
    <row r="159" spans="1:17" s="36" customFormat="1">
      <c r="A159" s="72" t="s">
        <v>207</v>
      </c>
      <c r="B159" s="62"/>
      <c r="C159" s="62"/>
      <c r="D159" s="105" t="s">
        <v>715</v>
      </c>
      <c r="E159" s="71" t="s">
        <v>276</v>
      </c>
      <c r="F159" s="63">
        <f>16+39+50</f>
        <v>105</v>
      </c>
      <c r="G159" s="69" t="s">
        <v>278</v>
      </c>
      <c r="H159" s="71" t="s">
        <v>558</v>
      </c>
      <c r="I159" s="82">
        <f xml:space="preserve"> 49+53+55</f>
        <v>157</v>
      </c>
      <c r="J159" s="69" t="s">
        <v>107</v>
      </c>
      <c r="K159" s="103"/>
      <c r="L159" s="99">
        <f>25+38+38</f>
        <v>101</v>
      </c>
      <c r="M159" s="62" t="s">
        <v>107</v>
      </c>
      <c r="N159" s="62"/>
      <c r="O159" s="62">
        <f t="shared" si="7"/>
        <v>0</v>
      </c>
      <c r="P159" s="62"/>
      <c r="Q159" s="62">
        <f t="shared" si="6"/>
        <v>363</v>
      </c>
    </row>
    <row r="160" spans="1:17" s="36" customFormat="1">
      <c r="A160" s="72" t="s">
        <v>390</v>
      </c>
      <c r="B160" s="62"/>
      <c r="C160" s="62"/>
      <c r="D160" s="105" t="s">
        <v>716</v>
      </c>
      <c r="E160" s="71" t="s">
        <v>485</v>
      </c>
      <c r="F160" s="82">
        <f xml:space="preserve"> 24+32+38</f>
        <v>94</v>
      </c>
      <c r="G160" s="69" t="s">
        <v>107</v>
      </c>
      <c r="H160" s="71" t="s">
        <v>687</v>
      </c>
      <c r="I160" s="82">
        <f>40+47+50</f>
        <v>137</v>
      </c>
      <c r="J160" s="69" t="s">
        <v>106</v>
      </c>
      <c r="K160" s="103"/>
      <c r="L160" s="99">
        <f xml:space="preserve"> 29+36+37</f>
        <v>102</v>
      </c>
      <c r="M160" s="62" t="s">
        <v>108</v>
      </c>
      <c r="N160" s="62"/>
      <c r="O160" s="62">
        <f t="shared" si="7"/>
        <v>0</v>
      </c>
      <c r="P160" s="62"/>
      <c r="Q160" s="62">
        <f t="shared" si="6"/>
        <v>333</v>
      </c>
    </row>
    <row r="161" spans="1:17" s="36" customFormat="1">
      <c r="A161" s="72" t="s">
        <v>174</v>
      </c>
      <c r="B161" s="62"/>
      <c r="C161" s="62"/>
      <c r="D161" s="105" t="s">
        <v>717</v>
      </c>
      <c r="E161" s="71" t="s">
        <v>277</v>
      </c>
      <c r="F161" s="63">
        <f xml:space="preserve"> 14+23+26</f>
        <v>63</v>
      </c>
      <c r="G161" s="69" t="s">
        <v>110</v>
      </c>
      <c r="H161" s="71" t="s">
        <v>559</v>
      </c>
      <c r="I161" s="82">
        <f>14+22+24</f>
        <v>60</v>
      </c>
      <c r="J161" s="69" t="s">
        <v>110</v>
      </c>
      <c r="K161" s="103"/>
      <c r="L161" s="107">
        <f>13 +16+21</f>
        <v>50</v>
      </c>
      <c r="M161" s="62" t="s">
        <v>105</v>
      </c>
      <c r="N161" s="62"/>
      <c r="O161" s="62">
        <f t="shared" si="7"/>
        <v>0</v>
      </c>
      <c r="P161" s="62"/>
      <c r="Q161" s="62">
        <f t="shared" si="6"/>
        <v>173</v>
      </c>
    </row>
    <row r="162" spans="1:17" s="36" customFormat="1">
      <c r="A162" s="62" t="s">
        <v>470</v>
      </c>
      <c r="B162" s="62"/>
      <c r="C162" s="62"/>
      <c r="D162" s="105" t="s">
        <v>718</v>
      </c>
      <c r="E162" s="71" t="s">
        <v>471</v>
      </c>
      <c r="F162" s="63">
        <f xml:space="preserve"> 44+45+60</f>
        <v>149</v>
      </c>
      <c r="G162" s="69" t="s">
        <v>452</v>
      </c>
      <c r="H162" s="71" t="s">
        <v>562</v>
      </c>
      <c r="I162" s="82">
        <f xml:space="preserve"> 55+55+55</f>
        <v>165</v>
      </c>
      <c r="J162" s="69" t="s">
        <v>108</v>
      </c>
      <c r="K162" s="103"/>
      <c r="L162" s="107">
        <f xml:space="preserve"> 38+38+38</f>
        <v>114</v>
      </c>
      <c r="M162" s="62" t="s">
        <v>452</v>
      </c>
      <c r="N162" s="62"/>
      <c r="O162" s="62"/>
      <c r="P162" s="62"/>
      <c r="Q162" s="62">
        <f t="shared" si="6"/>
        <v>428</v>
      </c>
    </row>
    <row r="163" spans="1:17" s="36" customFormat="1">
      <c r="A163" s="5"/>
      <c r="B163" s="5"/>
      <c r="C163" s="5"/>
      <c r="D163" s="106"/>
      <c r="E163" s="7"/>
      <c r="F163" s="51"/>
      <c r="G163" s="46"/>
      <c r="H163" s="7"/>
      <c r="I163" s="34"/>
      <c r="J163"/>
      <c r="K163" s="95"/>
      <c r="L163" s="34"/>
      <c r="M163"/>
      <c r="N163"/>
      <c r="O163" s="34"/>
      <c r="P163"/>
      <c r="Q163" s="34"/>
    </row>
    <row r="164" spans="1:17" s="36" customFormat="1">
      <c r="A164" s="5"/>
      <c r="B164" s="5"/>
      <c r="C164" s="5"/>
      <c r="D164" s="106"/>
      <c r="E164" s="7"/>
      <c r="F164" s="51"/>
      <c r="G164"/>
      <c r="H164" s="8"/>
      <c r="I164" s="34"/>
      <c r="J164"/>
      <c r="K164" s="95"/>
      <c r="L164" s="34"/>
      <c r="M164"/>
      <c r="N164"/>
      <c r="O164" s="34"/>
      <c r="P164"/>
      <c r="Q164" s="34"/>
    </row>
    <row r="165" spans="1:17" s="36" customFormat="1">
      <c r="A165" s="64" t="s">
        <v>271</v>
      </c>
      <c r="B165" s="62"/>
      <c r="C165" s="62"/>
      <c r="D165" s="105"/>
      <c r="E165" s="62"/>
      <c r="F165" s="75" t="s">
        <v>97</v>
      </c>
      <c r="G165" s="67"/>
      <c r="H165" s="67"/>
      <c r="I165" s="67" t="s">
        <v>98</v>
      </c>
      <c r="J165" s="67"/>
      <c r="K165" s="102"/>
      <c r="L165" s="67" t="s">
        <v>99</v>
      </c>
      <c r="M165" s="67"/>
      <c r="N165" s="67"/>
      <c r="O165" s="67" t="s">
        <v>100</v>
      </c>
      <c r="P165" s="67"/>
      <c r="Q165" s="67" t="s">
        <v>101</v>
      </c>
    </row>
    <row r="166" spans="1:17" s="36" customFormat="1">
      <c r="A166" s="62" t="s">
        <v>450</v>
      </c>
      <c r="B166" s="62"/>
      <c r="C166" s="62"/>
      <c r="D166" s="105" t="s">
        <v>719</v>
      </c>
      <c r="E166" s="71" t="s">
        <v>472</v>
      </c>
      <c r="F166" s="63">
        <f>15+36+38</f>
        <v>89</v>
      </c>
      <c r="G166" s="69" t="s">
        <v>108</v>
      </c>
      <c r="H166" s="71" t="s">
        <v>571</v>
      </c>
      <c r="I166" s="62">
        <f>32+32+32</f>
        <v>96</v>
      </c>
      <c r="J166" s="69" t="s">
        <v>452</v>
      </c>
      <c r="K166" s="103"/>
      <c r="L166" s="99">
        <f>24+24+24</f>
        <v>72</v>
      </c>
      <c r="M166" s="62" t="s">
        <v>278</v>
      </c>
      <c r="N166" s="62"/>
      <c r="O166" s="62"/>
      <c r="P166" s="62"/>
      <c r="Q166" s="62">
        <f t="shared" ref="Q166:Q174" si="8">F166+I166+L166+O166</f>
        <v>257</v>
      </c>
    </row>
    <row r="167" spans="1:17" s="36" customFormat="1">
      <c r="A167" s="62" t="s">
        <v>36</v>
      </c>
      <c r="B167" s="62"/>
      <c r="C167" s="62"/>
      <c r="D167" s="105" t="s">
        <v>778</v>
      </c>
      <c r="E167" s="71" t="s">
        <v>279</v>
      </c>
      <c r="F167" s="76">
        <f>6 +38+38</f>
        <v>82</v>
      </c>
      <c r="G167" s="74" t="s">
        <v>107</v>
      </c>
      <c r="H167" s="71" t="s">
        <v>563</v>
      </c>
      <c r="I167" s="62">
        <f>13+32+32</f>
        <v>77</v>
      </c>
      <c r="J167" s="69" t="s">
        <v>107</v>
      </c>
      <c r="K167" s="103"/>
      <c r="L167" s="82">
        <f>6+24+24</f>
        <v>54</v>
      </c>
      <c r="M167" s="62" t="s">
        <v>110</v>
      </c>
      <c r="N167" s="62"/>
      <c r="O167" s="62">
        <f>N167</f>
        <v>0</v>
      </c>
      <c r="P167" s="62"/>
      <c r="Q167" s="62">
        <f t="shared" si="8"/>
        <v>213</v>
      </c>
    </row>
    <row r="168" spans="1:17" s="36" customFormat="1">
      <c r="A168" s="143" t="s">
        <v>474</v>
      </c>
      <c r="B168" s="136"/>
      <c r="C168" s="136"/>
      <c r="D168" s="137" t="s">
        <v>779</v>
      </c>
      <c r="E168" s="138" t="s">
        <v>280</v>
      </c>
      <c r="F168" s="140">
        <f>1+3+4</f>
        <v>8</v>
      </c>
      <c r="G168" s="139" t="s">
        <v>109</v>
      </c>
      <c r="H168" s="138" t="s">
        <v>564</v>
      </c>
      <c r="I168" s="136">
        <f>1+2+4</f>
        <v>7</v>
      </c>
      <c r="J168" s="139" t="s">
        <v>109</v>
      </c>
      <c r="K168" s="141"/>
      <c r="L168" s="144">
        <f xml:space="preserve"> 1+3+5</f>
        <v>9</v>
      </c>
      <c r="M168" s="136" t="s">
        <v>109</v>
      </c>
      <c r="N168" s="136"/>
      <c r="O168" s="136"/>
      <c r="P168" s="136"/>
      <c r="Q168" s="136">
        <f t="shared" si="8"/>
        <v>24</v>
      </c>
    </row>
    <row r="169" spans="1:17" s="36" customFormat="1">
      <c r="A169" s="70" t="s">
        <v>475</v>
      </c>
      <c r="B169" s="62"/>
      <c r="C169" s="62"/>
      <c r="D169" s="105" t="s">
        <v>780</v>
      </c>
      <c r="E169" s="71" t="s">
        <v>281</v>
      </c>
      <c r="F169" s="76">
        <f xml:space="preserve"> 7+35+38</f>
        <v>80</v>
      </c>
      <c r="G169" s="69" t="s">
        <v>106</v>
      </c>
      <c r="H169" s="71" t="s">
        <v>568</v>
      </c>
      <c r="I169" s="62">
        <f>9+18+28</f>
        <v>55</v>
      </c>
      <c r="J169" s="69" t="s">
        <v>105</v>
      </c>
      <c r="K169" s="103"/>
      <c r="L169" s="82">
        <f>20+24+24</f>
        <v>68</v>
      </c>
      <c r="M169" s="62" t="s">
        <v>107</v>
      </c>
      <c r="N169" s="62"/>
      <c r="O169" s="62"/>
      <c r="P169" s="62"/>
      <c r="Q169" s="62">
        <f t="shared" si="8"/>
        <v>203</v>
      </c>
    </row>
    <row r="170" spans="1:17" s="36" customFormat="1">
      <c r="A170" s="72" t="s">
        <v>476</v>
      </c>
      <c r="B170" s="62"/>
      <c r="C170" s="62"/>
      <c r="D170" s="105" t="s">
        <v>781</v>
      </c>
      <c r="E170" s="71" t="s">
        <v>282</v>
      </c>
      <c r="F170" s="76">
        <f>9+13+17</f>
        <v>39</v>
      </c>
      <c r="G170" s="69" t="s">
        <v>104</v>
      </c>
      <c r="H170" s="71" t="s">
        <v>569</v>
      </c>
      <c r="I170" s="62">
        <f xml:space="preserve"> 10+15+17</f>
        <v>42</v>
      </c>
      <c r="J170" s="69" t="s">
        <v>103</v>
      </c>
      <c r="K170" s="103"/>
      <c r="L170" s="99">
        <f>7+9+16</f>
        <v>32</v>
      </c>
      <c r="M170" s="62" t="s">
        <v>103</v>
      </c>
      <c r="N170" s="62"/>
      <c r="O170" s="62"/>
      <c r="P170" s="62"/>
      <c r="Q170" s="62">
        <f t="shared" si="8"/>
        <v>113</v>
      </c>
    </row>
    <row r="171" spans="1:17" s="36" customFormat="1">
      <c r="A171" s="72" t="s">
        <v>477</v>
      </c>
      <c r="B171" s="62"/>
      <c r="C171" s="62"/>
      <c r="D171" s="105" t="s">
        <v>720</v>
      </c>
      <c r="E171" s="71" t="s">
        <v>283</v>
      </c>
      <c r="F171" s="76">
        <f>2+11+14</f>
        <v>27</v>
      </c>
      <c r="G171" s="69" t="s">
        <v>103</v>
      </c>
      <c r="H171" s="71" t="s">
        <v>570</v>
      </c>
      <c r="I171" s="62">
        <f xml:space="preserve"> 8+19+32</f>
        <v>59</v>
      </c>
      <c r="J171" s="69" t="s">
        <v>110</v>
      </c>
      <c r="K171" s="103"/>
      <c r="L171" s="82">
        <f>10+19+24</f>
        <v>53</v>
      </c>
      <c r="M171" s="62" t="s">
        <v>105</v>
      </c>
      <c r="N171" s="62"/>
      <c r="O171" s="62"/>
      <c r="P171" s="62"/>
      <c r="Q171" s="62">
        <f t="shared" si="8"/>
        <v>139</v>
      </c>
    </row>
    <row r="172" spans="1:17" s="36" customFormat="1">
      <c r="A172" s="72" t="s">
        <v>207</v>
      </c>
      <c r="B172" s="62"/>
      <c r="C172" s="62"/>
      <c r="D172" s="105" t="s">
        <v>719</v>
      </c>
      <c r="E172" s="71" t="s">
        <v>284</v>
      </c>
      <c r="F172" s="76">
        <f>38+38+38</f>
        <v>114</v>
      </c>
      <c r="G172" s="69" t="s">
        <v>455</v>
      </c>
      <c r="H172" s="71" t="s">
        <v>565</v>
      </c>
      <c r="I172" s="62">
        <f>27+32+32</f>
        <v>91</v>
      </c>
      <c r="J172" s="69" t="s">
        <v>108</v>
      </c>
      <c r="K172" s="103"/>
      <c r="L172" s="99">
        <f>24+24+24</f>
        <v>72</v>
      </c>
      <c r="M172" s="62" t="s">
        <v>108</v>
      </c>
      <c r="N172" s="62"/>
      <c r="O172" s="62"/>
      <c r="P172" s="62"/>
      <c r="Q172" s="62">
        <f t="shared" si="8"/>
        <v>277</v>
      </c>
    </row>
    <row r="173" spans="1:17" s="36" customFormat="1">
      <c r="A173" s="72" t="s">
        <v>390</v>
      </c>
      <c r="B173" s="62"/>
      <c r="C173" s="62"/>
      <c r="D173" s="105" t="s">
        <v>782</v>
      </c>
      <c r="E173" s="71" t="s">
        <v>285</v>
      </c>
      <c r="F173" s="76">
        <f>7+21+35</f>
        <v>63</v>
      </c>
      <c r="G173" s="69" t="s">
        <v>110</v>
      </c>
      <c r="H173" s="71" t="s">
        <v>567</v>
      </c>
      <c r="I173" s="62">
        <f xml:space="preserve"> 20+22+31</f>
        <v>73</v>
      </c>
      <c r="J173" s="69" t="s">
        <v>106</v>
      </c>
      <c r="K173" s="103"/>
      <c r="L173" s="99">
        <f xml:space="preserve"> 18+19+23</f>
        <v>60</v>
      </c>
      <c r="M173" s="62" t="s">
        <v>106</v>
      </c>
      <c r="N173" s="62"/>
      <c r="O173" s="62"/>
      <c r="P173" s="62"/>
      <c r="Q173" s="62">
        <f t="shared" si="8"/>
        <v>196</v>
      </c>
    </row>
    <row r="174" spans="1:17" s="36" customFormat="1">
      <c r="A174" s="72" t="s">
        <v>174</v>
      </c>
      <c r="B174" s="62"/>
      <c r="C174" s="62"/>
      <c r="D174" s="105" t="s">
        <v>783</v>
      </c>
      <c r="E174" s="71" t="s">
        <v>286</v>
      </c>
      <c r="F174" s="76">
        <f>5+8+38</f>
        <v>51</v>
      </c>
      <c r="G174" s="69" t="s">
        <v>105</v>
      </c>
      <c r="H174" s="71" t="s">
        <v>566</v>
      </c>
      <c r="I174" s="62">
        <f>7+14+32</f>
        <v>53</v>
      </c>
      <c r="J174" s="69" t="s">
        <v>104</v>
      </c>
      <c r="K174" s="103"/>
      <c r="L174" s="99">
        <f>2+24+24</f>
        <v>50</v>
      </c>
      <c r="M174" s="62" t="s">
        <v>104</v>
      </c>
      <c r="N174" s="62"/>
      <c r="O174" s="62"/>
      <c r="P174" s="62"/>
      <c r="Q174" s="62">
        <f t="shared" si="8"/>
        <v>154</v>
      </c>
    </row>
    <row r="175" spans="1:17" s="36" customFormat="1">
      <c r="A175" s="62" t="s">
        <v>163</v>
      </c>
      <c r="B175" s="62"/>
      <c r="C175" s="62"/>
      <c r="D175" s="105" t="s">
        <v>719</v>
      </c>
      <c r="E175" s="71" t="s">
        <v>478</v>
      </c>
      <c r="F175" s="63">
        <f>27+38+38</f>
        <v>103</v>
      </c>
      <c r="G175" s="69" t="s">
        <v>452</v>
      </c>
      <c r="H175" s="71" t="s">
        <v>571</v>
      </c>
      <c r="I175" s="62">
        <f>32+32+32</f>
        <v>96</v>
      </c>
      <c r="J175" s="69" t="s">
        <v>452</v>
      </c>
      <c r="K175" s="103"/>
      <c r="L175" s="99">
        <f>24+24+24</f>
        <v>72</v>
      </c>
      <c r="M175" s="62" t="s">
        <v>108</v>
      </c>
      <c r="N175" s="62"/>
      <c r="O175" s="62"/>
      <c r="P175" s="62"/>
      <c r="Q175" s="62"/>
    </row>
    <row r="176" spans="1:17" s="36" customFormat="1">
      <c r="A176"/>
      <c r="B176"/>
      <c r="C176"/>
      <c r="D176" s="43"/>
      <c r="E176"/>
      <c r="F176" s="51"/>
      <c r="G176"/>
      <c r="H176"/>
      <c r="I176"/>
      <c r="J176"/>
      <c r="K176" s="95"/>
      <c r="L176"/>
      <c r="M176"/>
      <c r="N176"/>
      <c r="O176"/>
      <c r="P176"/>
      <c r="Q176"/>
    </row>
    <row r="177" spans="1:22" s="36" customFormat="1">
      <c r="A177"/>
      <c r="B177"/>
      <c r="C177"/>
      <c r="D177" s="43"/>
      <c r="E177"/>
      <c r="F177" s="51"/>
      <c r="G177"/>
      <c r="H177"/>
      <c r="I177"/>
      <c r="J177"/>
      <c r="K177" s="95"/>
      <c r="L177"/>
      <c r="M177"/>
      <c r="N177"/>
      <c r="O177"/>
      <c r="P177"/>
      <c r="Q177"/>
    </row>
    <row r="178" spans="1:22" s="36" customFormat="1">
      <c r="A178"/>
      <c r="B178"/>
      <c r="C178"/>
      <c r="D178" s="43"/>
      <c r="E178"/>
      <c r="F178" s="51"/>
      <c r="G178"/>
      <c r="H178"/>
      <c r="I178"/>
      <c r="J178"/>
      <c r="K178" s="95"/>
      <c r="L178"/>
      <c r="M178"/>
      <c r="N178"/>
      <c r="O178"/>
      <c r="P178"/>
      <c r="Q178"/>
    </row>
    <row r="179" spans="1:22" s="36" customFormat="1">
      <c r="A179"/>
      <c r="B179"/>
      <c r="C179"/>
      <c r="D179" s="43"/>
      <c r="E179"/>
      <c r="F179" s="51"/>
      <c r="G179"/>
      <c r="H179"/>
      <c r="I179"/>
      <c r="J179"/>
      <c r="K179" s="95"/>
      <c r="L179"/>
      <c r="M179"/>
      <c r="N179"/>
      <c r="O179"/>
      <c r="P179"/>
      <c r="Q179"/>
      <c r="T179" s="39"/>
      <c r="U179" s="39"/>
    </row>
    <row r="180" spans="1:22" s="36" customFormat="1">
      <c r="A180"/>
      <c r="B180"/>
      <c r="C180"/>
      <c r="D180" s="43"/>
      <c r="E180"/>
      <c r="F180" s="51"/>
      <c r="G180"/>
      <c r="H180"/>
      <c r="I180"/>
      <c r="J180"/>
      <c r="K180" s="95"/>
      <c r="L180"/>
      <c r="M180"/>
      <c r="N180"/>
      <c r="O180"/>
      <c r="P180"/>
      <c r="Q180"/>
    </row>
    <row r="181" spans="1:22" s="36" customFormat="1">
      <c r="A181"/>
      <c r="B181"/>
      <c r="C181"/>
      <c r="D181" s="43"/>
      <c r="E181"/>
      <c r="F181" s="51"/>
      <c r="G181"/>
      <c r="H181"/>
      <c r="I181"/>
      <c r="J181"/>
      <c r="K181" s="95"/>
      <c r="L181"/>
      <c r="M181"/>
      <c r="N181"/>
      <c r="O181"/>
      <c r="P181"/>
      <c r="Q181"/>
      <c r="T181" s="39"/>
      <c r="U181" s="39"/>
    </row>
    <row r="182" spans="1:22" s="36" customFormat="1">
      <c r="A182"/>
      <c r="B182"/>
      <c r="C182"/>
      <c r="D182" s="43"/>
      <c r="E182"/>
      <c r="F182" s="51"/>
      <c r="G182"/>
      <c r="H182"/>
      <c r="I182"/>
      <c r="J182"/>
      <c r="K182" s="95"/>
      <c r="L182"/>
      <c r="M182"/>
      <c r="N182"/>
      <c r="O182"/>
      <c r="P182"/>
      <c r="Q182"/>
    </row>
    <row r="183" spans="1:22" s="36" customFormat="1">
      <c r="A183"/>
      <c r="B183"/>
      <c r="C183"/>
      <c r="D183" s="43"/>
      <c r="E183"/>
      <c r="F183" s="51"/>
      <c r="G183"/>
      <c r="H183"/>
      <c r="I183"/>
      <c r="J183"/>
      <c r="K183" s="95"/>
      <c r="L183"/>
      <c r="M183"/>
      <c r="N183"/>
      <c r="O183"/>
      <c r="P183"/>
      <c r="Q183"/>
      <c r="T183" s="39"/>
      <c r="U183" s="39"/>
      <c r="V183" s="39"/>
    </row>
    <row r="184" spans="1:22" s="36" customFormat="1">
      <c r="A184"/>
      <c r="B184"/>
      <c r="C184"/>
      <c r="D184" s="43"/>
      <c r="E184"/>
      <c r="F184" s="51"/>
      <c r="G184"/>
      <c r="H184"/>
      <c r="I184"/>
      <c r="J184"/>
      <c r="K184" s="95"/>
      <c r="L184"/>
      <c r="M184"/>
      <c r="N184"/>
      <c r="O184"/>
      <c r="P184"/>
      <c r="Q184"/>
      <c r="T184" s="39"/>
      <c r="U184" s="39"/>
    </row>
    <row r="185" spans="1:22" s="36" customFormat="1">
      <c r="A185"/>
      <c r="B185"/>
      <c r="C185"/>
      <c r="D185" s="43"/>
      <c r="E185"/>
      <c r="F185" s="51"/>
      <c r="G185"/>
      <c r="H185"/>
      <c r="I185"/>
      <c r="J185"/>
      <c r="K185" s="95"/>
      <c r="L185"/>
      <c r="M185"/>
      <c r="N185"/>
      <c r="O185"/>
      <c r="P185"/>
      <c r="Q185"/>
      <c r="T185" s="39"/>
      <c r="U185" s="39"/>
    </row>
    <row r="186" spans="1:22" s="36" customFormat="1">
      <c r="A186"/>
      <c r="B186"/>
      <c r="C186"/>
      <c r="D186" s="43"/>
      <c r="E186"/>
      <c r="F186" s="51"/>
      <c r="G186"/>
      <c r="H186"/>
      <c r="I186"/>
      <c r="J186"/>
      <c r="K186" s="95"/>
      <c r="L186"/>
      <c r="M186"/>
      <c r="N186"/>
      <c r="O186"/>
      <c r="P186"/>
      <c r="Q186"/>
      <c r="T186" s="39"/>
      <c r="U186" s="39"/>
    </row>
    <row r="187" spans="1:22" s="36" customFormat="1">
      <c r="A187"/>
      <c r="B187"/>
      <c r="C187"/>
      <c r="D187" s="43"/>
      <c r="E187"/>
      <c r="F187" s="51"/>
      <c r="G187"/>
      <c r="H187"/>
      <c r="I187"/>
      <c r="J187"/>
      <c r="K187" s="95"/>
      <c r="L187"/>
      <c r="M187"/>
      <c r="N187"/>
      <c r="O187"/>
      <c r="P187"/>
      <c r="Q187"/>
      <c r="T187" s="39"/>
      <c r="U187" s="39"/>
      <c r="V187" s="39"/>
    </row>
    <row r="188" spans="1:22" s="36" customFormat="1">
      <c r="A188"/>
      <c r="B188"/>
      <c r="C188"/>
      <c r="D188" s="43"/>
      <c r="E188"/>
      <c r="F188" s="51"/>
      <c r="G188"/>
      <c r="H188"/>
      <c r="I188"/>
      <c r="J188"/>
      <c r="K188" s="95"/>
      <c r="L188"/>
      <c r="M188"/>
      <c r="N188"/>
      <c r="O188"/>
      <c r="P188"/>
      <c r="Q188"/>
    </row>
    <row r="189" spans="1:22" s="36" customFormat="1">
      <c r="A189"/>
      <c r="B189"/>
      <c r="C189"/>
      <c r="D189" s="43"/>
      <c r="E189"/>
      <c r="F189" s="51"/>
      <c r="G189"/>
      <c r="H189"/>
      <c r="I189"/>
      <c r="J189"/>
      <c r="K189" s="95"/>
      <c r="L189"/>
      <c r="M189"/>
      <c r="N189"/>
      <c r="O189"/>
      <c r="P189"/>
      <c r="Q189"/>
    </row>
    <row r="190" spans="1:22" s="36" customFormat="1">
      <c r="A190"/>
      <c r="B190"/>
      <c r="C190"/>
      <c r="D190" s="43"/>
      <c r="E190"/>
      <c r="F190" s="51"/>
      <c r="G190"/>
      <c r="H190"/>
      <c r="I190"/>
      <c r="J190"/>
      <c r="K190" s="95"/>
      <c r="L190"/>
      <c r="M190"/>
      <c r="N190"/>
      <c r="O190"/>
      <c r="P190"/>
      <c r="Q190"/>
    </row>
    <row r="191" spans="1:22" s="36" customFormat="1">
      <c r="A191"/>
      <c r="B191"/>
      <c r="C191"/>
      <c r="D191" s="43"/>
      <c r="E191"/>
      <c r="F191" s="51"/>
      <c r="G191"/>
      <c r="H191"/>
      <c r="I191"/>
      <c r="J191"/>
      <c r="K191" s="95"/>
      <c r="L191"/>
      <c r="M191"/>
      <c r="N191"/>
      <c r="O191"/>
      <c r="P191"/>
      <c r="Q191"/>
    </row>
    <row r="192" spans="1:22" s="36" customFormat="1">
      <c r="A192"/>
      <c r="B192"/>
      <c r="C192"/>
      <c r="D192" s="43"/>
      <c r="E192"/>
      <c r="F192" s="51"/>
      <c r="G192"/>
      <c r="H192"/>
      <c r="I192"/>
      <c r="J192"/>
      <c r="K192" s="95"/>
      <c r="L192"/>
      <c r="M192"/>
      <c r="N192"/>
      <c r="O192"/>
      <c r="P192"/>
      <c r="Q192"/>
    </row>
    <row r="193" spans="1:22" s="36" customFormat="1">
      <c r="A193"/>
      <c r="B193"/>
      <c r="C193"/>
      <c r="D193" s="43"/>
      <c r="E193"/>
      <c r="F193" s="51"/>
      <c r="G193"/>
      <c r="H193"/>
      <c r="I193"/>
      <c r="J193"/>
      <c r="K193" s="95"/>
      <c r="L193"/>
      <c r="M193"/>
      <c r="N193"/>
      <c r="O193"/>
      <c r="P193"/>
      <c r="Q193"/>
      <c r="T193" s="39"/>
      <c r="U193" s="39"/>
    </row>
    <row r="194" spans="1:22" s="36" customFormat="1">
      <c r="A194"/>
      <c r="B194"/>
      <c r="C194"/>
      <c r="D194" s="43"/>
      <c r="E194"/>
      <c r="F194" s="51"/>
      <c r="G194"/>
      <c r="H194"/>
      <c r="I194"/>
      <c r="J194"/>
      <c r="K194" s="95"/>
      <c r="L194"/>
      <c r="M194"/>
      <c r="N194"/>
      <c r="O194"/>
      <c r="P194"/>
      <c r="Q194"/>
    </row>
    <row r="195" spans="1:22" s="36" customFormat="1">
      <c r="A195"/>
      <c r="B195"/>
      <c r="C195"/>
      <c r="D195" s="43"/>
      <c r="E195"/>
      <c r="F195" s="51"/>
      <c r="G195"/>
      <c r="H195"/>
      <c r="I195"/>
      <c r="J195"/>
      <c r="K195" s="95"/>
      <c r="L195"/>
      <c r="M195"/>
      <c r="N195"/>
      <c r="O195"/>
      <c r="P195"/>
      <c r="Q195"/>
    </row>
    <row r="196" spans="1:22" s="36" customFormat="1">
      <c r="A196"/>
      <c r="B196"/>
      <c r="C196"/>
      <c r="D196" s="43"/>
      <c r="E196"/>
      <c r="F196" s="51"/>
      <c r="G196"/>
      <c r="H196"/>
      <c r="I196"/>
      <c r="J196"/>
      <c r="K196" s="95"/>
      <c r="L196"/>
      <c r="M196"/>
      <c r="N196"/>
      <c r="O196"/>
      <c r="P196"/>
      <c r="Q196"/>
      <c r="T196" s="39"/>
      <c r="U196" s="39"/>
      <c r="V196" s="39"/>
    </row>
    <row r="197" spans="1:22" s="36" customFormat="1">
      <c r="A197"/>
      <c r="B197"/>
      <c r="C197"/>
      <c r="D197" s="43"/>
      <c r="E197"/>
      <c r="F197" s="51"/>
      <c r="G197"/>
      <c r="H197"/>
      <c r="I197"/>
      <c r="J197"/>
      <c r="K197" s="95"/>
      <c r="L197"/>
      <c r="M197"/>
      <c r="N197"/>
      <c r="O197"/>
      <c r="P197"/>
      <c r="Q197"/>
    </row>
    <row r="198" spans="1:22" s="36" customFormat="1">
      <c r="A198"/>
      <c r="B198"/>
      <c r="C198"/>
      <c r="D198" s="43"/>
      <c r="E198"/>
      <c r="F198" s="51"/>
      <c r="G198"/>
      <c r="H198"/>
      <c r="I198"/>
      <c r="J198"/>
      <c r="K198" s="95"/>
      <c r="L198"/>
      <c r="M198"/>
      <c r="N198"/>
      <c r="O198"/>
      <c r="P198"/>
      <c r="Q198"/>
    </row>
    <row r="199" spans="1:22" s="36" customFormat="1">
      <c r="A199"/>
      <c r="B199"/>
      <c r="C199"/>
      <c r="D199" s="43"/>
      <c r="E199"/>
      <c r="F199" s="51"/>
      <c r="G199"/>
      <c r="H199"/>
      <c r="I199"/>
      <c r="J199"/>
      <c r="K199" s="95"/>
      <c r="L199"/>
      <c r="M199"/>
      <c r="N199"/>
      <c r="O199"/>
      <c r="P199"/>
      <c r="Q199"/>
    </row>
    <row r="200" spans="1:22" s="36" customFormat="1">
      <c r="A200"/>
      <c r="B200"/>
      <c r="C200"/>
      <c r="D200" s="43"/>
      <c r="E200"/>
      <c r="F200" s="51"/>
      <c r="G200"/>
      <c r="H200"/>
      <c r="I200"/>
      <c r="J200"/>
      <c r="K200" s="95"/>
      <c r="L200"/>
      <c r="M200"/>
      <c r="N200"/>
      <c r="O200"/>
      <c r="P200"/>
      <c r="Q200"/>
    </row>
    <row r="201" spans="1:22" s="36" customFormat="1">
      <c r="A201"/>
      <c r="B201"/>
      <c r="C201"/>
      <c r="D201" s="43"/>
      <c r="E201"/>
      <c r="F201" s="51"/>
      <c r="G201"/>
      <c r="H201"/>
      <c r="I201"/>
      <c r="J201"/>
      <c r="K201" s="95"/>
      <c r="L201"/>
      <c r="M201"/>
      <c r="N201"/>
      <c r="O201"/>
      <c r="P201"/>
      <c r="Q201"/>
    </row>
    <row r="202" spans="1:22" s="36" customFormat="1">
      <c r="A202"/>
      <c r="B202"/>
      <c r="C202"/>
      <c r="D202" s="43"/>
      <c r="E202"/>
      <c r="F202" s="51"/>
      <c r="G202"/>
      <c r="H202"/>
      <c r="I202"/>
      <c r="J202"/>
      <c r="K202" s="95"/>
      <c r="L202"/>
      <c r="M202"/>
      <c r="N202"/>
      <c r="O202"/>
      <c r="P202"/>
      <c r="Q202"/>
    </row>
    <row r="203" spans="1:22" s="36" customFormat="1">
      <c r="A203"/>
      <c r="B203"/>
      <c r="C203"/>
      <c r="D203" s="43"/>
      <c r="E203"/>
      <c r="F203" s="51"/>
      <c r="G203"/>
      <c r="H203"/>
      <c r="I203"/>
      <c r="J203"/>
      <c r="K203" s="95"/>
      <c r="L203"/>
      <c r="M203"/>
      <c r="N203"/>
      <c r="O203"/>
      <c r="P203"/>
      <c r="Q203"/>
    </row>
    <row r="204" spans="1:22" s="36" customFormat="1">
      <c r="A204"/>
      <c r="B204"/>
      <c r="C204"/>
      <c r="D204" s="43"/>
      <c r="E204"/>
      <c r="F204" s="51"/>
      <c r="G204"/>
      <c r="H204"/>
      <c r="I204"/>
      <c r="J204"/>
      <c r="K204" s="95"/>
      <c r="L204"/>
      <c r="M204"/>
      <c r="N204"/>
      <c r="O204"/>
      <c r="P204"/>
      <c r="Q204"/>
    </row>
    <row r="205" spans="1:22" s="36" customFormat="1">
      <c r="A205"/>
      <c r="B205"/>
      <c r="C205"/>
      <c r="D205" s="43"/>
      <c r="E205"/>
      <c r="F205" s="51"/>
      <c r="G205"/>
      <c r="H205"/>
      <c r="I205"/>
      <c r="J205"/>
      <c r="K205" s="95"/>
      <c r="L205"/>
      <c r="M205"/>
      <c r="N205"/>
      <c r="O205"/>
      <c r="P205"/>
      <c r="Q205"/>
    </row>
    <row r="206" spans="1:22" s="36" customFormat="1">
      <c r="A206"/>
      <c r="B206"/>
      <c r="C206"/>
      <c r="D206" s="43"/>
      <c r="E206"/>
      <c r="F206" s="51"/>
      <c r="G206"/>
      <c r="H206"/>
      <c r="I206"/>
      <c r="J206"/>
      <c r="K206" s="95"/>
      <c r="L206"/>
      <c r="M206"/>
      <c r="N206"/>
      <c r="O206"/>
      <c r="P206"/>
      <c r="Q206"/>
    </row>
    <row r="207" spans="1:22" s="36" customFormat="1">
      <c r="A207"/>
      <c r="B207"/>
      <c r="C207"/>
      <c r="D207" s="43"/>
      <c r="E207"/>
      <c r="F207" s="51"/>
      <c r="G207"/>
      <c r="H207"/>
      <c r="I207"/>
      <c r="J207"/>
      <c r="K207" s="95"/>
      <c r="L207"/>
      <c r="M207"/>
      <c r="N207"/>
      <c r="O207"/>
      <c r="P207"/>
      <c r="Q207"/>
    </row>
    <row r="208" spans="1:22" s="36" customFormat="1">
      <c r="A208"/>
      <c r="B208"/>
      <c r="C208"/>
      <c r="D208" s="43"/>
      <c r="E208"/>
      <c r="F208" s="51"/>
      <c r="G208"/>
      <c r="H208"/>
      <c r="I208"/>
      <c r="J208"/>
      <c r="K208" s="95"/>
      <c r="L208"/>
      <c r="M208"/>
      <c r="N208"/>
      <c r="O208"/>
      <c r="P208"/>
      <c r="Q208"/>
      <c r="T208" s="39"/>
      <c r="U208" s="39"/>
      <c r="V208" s="39"/>
    </row>
    <row r="209" spans="1:22" s="36" customFormat="1">
      <c r="A209"/>
      <c r="B209"/>
      <c r="C209"/>
      <c r="D209" s="43"/>
      <c r="E209"/>
      <c r="F209" s="51"/>
      <c r="G209"/>
      <c r="H209"/>
      <c r="I209"/>
      <c r="J209"/>
      <c r="K209" s="95"/>
      <c r="L209"/>
      <c r="M209"/>
      <c r="N209"/>
      <c r="O209"/>
      <c r="P209"/>
      <c r="Q209"/>
      <c r="T209" s="39"/>
      <c r="U209" s="39"/>
      <c r="V209" s="39"/>
    </row>
    <row r="210" spans="1:22" s="36" customFormat="1">
      <c r="A210"/>
      <c r="B210"/>
      <c r="C210"/>
      <c r="D210" s="43"/>
      <c r="E210"/>
      <c r="F210" s="51"/>
      <c r="G210"/>
      <c r="H210"/>
      <c r="I210"/>
      <c r="J210"/>
      <c r="K210" s="95"/>
      <c r="L210"/>
      <c r="M210"/>
      <c r="N210"/>
      <c r="O210"/>
      <c r="P210"/>
      <c r="Q210"/>
      <c r="T210" s="39"/>
      <c r="U210" s="39"/>
    </row>
    <row r="211" spans="1:22" s="36" customFormat="1">
      <c r="A211"/>
      <c r="B211"/>
      <c r="C211"/>
      <c r="D211" s="43"/>
      <c r="E211"/>
      <c r="F211" s="51"/>
      <c r="G211"/>
      <c r="H211"/>
      <c r="I211"/>
      <c r="J211"/>
      <c r="K211" s="95"/>
      <c r="L211"/>
      <c r="M211"/>
      <c r="N211"/>
      <c r="O211"/>
      <c r="P211"/>
      <c r="Q211"/>
      <c r="T211" s="39"/>
      <c r="U211" s="39"/>
    </row>
    <row r="212" spans="1:22" s="36" customFormat="1" ht="10.5" customHeight="1">
      <c r="A212"/>
      <c r="B212"/>
      <c r="C212"/>
      <c r="D212" s="43"/>
      <c r="E212"/>
      <c r="F212" s="51"/>
      <c r="G212"/>
      <c r="H212"/>
      <c r="I212"/>
      <c r="J212"/>
      <c r="K212" s="95"/>
      <c r="L212"/>
      <c r="M212"/>
      <c r="N212"/>
      <c r="O212"/>
      <c r="P212"/>
      <c r="Q212"/>
      <c r="T212" s="39"/>
      <c r="U212" s="39"/>
    </row>
    <row r="213" spans="1:22" s="36" customFormat="1">
      <c r="A213"/>
      <c r="B213"/>
      <c r="C213"/>
      <c r="D213" s="43"/>
      <c r="E213"/>
      <c r="F213" s="51"/>
      <c r="G213"/>
      <c r="H213"/>
      <c r="I213"/>
      <c r="J213"/>
      <c r="K213" s="95"/>
      <c r="L213"/>
      <c r="M213"/>
      <c r="N213"/>
      <c r="O213"/>
      <c r="P213"/>
      <c r="Q213"/>
      <c r="T213" s="39"/>
      <c r="U213" s="39"/>
      <c r="V213" s="39"/>
    </row>
    <row r="214" spans="1:22" s="36" customFormat="1">
      <c r="A214"/>
      <c r="B214"/>
      <c r="C214"/>
      <c r="D214" s="43"/>
      <c r="E214"/>
      <c r="F214" s="51"/>
      <c r="G214"/>
      <c r="H214"/>
      <c r="I214"/>
      <c r="J214"/>
      <c r="K214" s="95"/>
      <c r="L214"/>
      <c r="M214"/>
      <c r="N214"/>
      <c r="O214"/>
      <c r="P214"/>
      <c r="Q214"/>
    </row>
    <row r="215" spans="1:22" s="36" customFormat="1">
      <c r="A215"/>
      <c r="B215"/>
      <c r="C215"/>
      <c r="D215" s="43"/>
      <c r="E215"/>
      <c r="F215" s="51"/>
      <c r="G215"/>
      <c r="H215"/>
      <c r="I215"/>
      <c r="J215"/>
      <c r="K215" s="95"/>
      <c r="L215"/>
      <c r="M215"/>
      <c r="N215"/>
      <c r="O215"/>
      <c r="P215"/>
      <c r="Q215"/>
    </row>
    <row r="216" spans="1:22" s="36" customFormat="1">
      <c r="A216"/>
      <c r="B216"/>
      <c r="C216"/>
      <c r="D216" s="43"/>
      <c r="E216"/>
      <c r="F216" s="51"/>
      <c r="G216"/>
      <c r="H216"/>
      <c r="I216"/>
      <c r="J216"/>
      <c r="K216" s="95"/>
      <c r="L216"/>
      <c r="M216"/>
      <c r="N216"/>
      <c r="O216"/>
      <c r="P216"/>
      <c r="Q216"/>
    </row>
    <row r="224" spans="1:22" s="5" customFormat="1">
      <c r="A224"/>
      <c r="B224"/>
      <c r="C224"/>
      <c r="D224" s="43"/>
      <c r="E224"/>
      <c r="F224" s="51"/>
      <c r="G224"/>
      <c r="H224"/>
      <c r="I224"/>
      <c r="J224"/>
      <c r="K224" s="95"/>
      <c r="L224"/>
      <c r="M224"/>
      <c r="N224"/>
      <c r="O224"/>
      <c r="P224"/>
      <c r="Q224"/>
    </row>
    <row r="225" spans="1:17" s="34" customFormat="1">
      <c r="A225"/>
      <c r="B225"/>
      <c r="C225"/>
      <c r="D225" s="43"/>
      <c r="E225"/>
      <c r="F225" s="51"/>
      <c r="G225"/>
      <c r="H225"/>
      <c r="I225"/>
      <c r="J225"/>
      <c r="K225" s="95"/>
      <c r="L225"/>
      <c r="M225"/>
      <c r="N225"/>
      <c r="O225"/>
      <c r="P225"/>
      <c r="Q225"/>
    </row>
    <row r="226" spans="1:17" s="34" customFormat="1">
      <c r="A226"/>
      <c r="B226"/>
      <c r="C226"/>
      <c r="D226" s="43"/>
      <c r="E226"/>
      <c r="F226" s="51"/>
      <c r="G226"/>
      <c r="H226"/>
      <c r="I226"/>
      <c r="J226"/>
      <c r="K226" s="95"/>
      <c r="L226"/>
      <c r="M226"/>
      <c r="N226"/>
      <c r="O226"/>
      <c r="P226"/>
      <c r="Q226"/>
    </row>
    <row r="231" spans="1:17" s="34" customFormat="1">
      <c r="A231"/>
      <c r="B231"/>
      <c r="C231"/>
      <c r="D231" s="43"/>
      <c r="E231"/>
      <c r="F231" s="51"/>
      <c r="G231"/>
      <c r="H231"/>
      <c r="I231"/>
      <c r="J231"/>
      <c r="K231" s="95"/>
      <c r="L231"/>
      <c r="M231"/>
      <c r="N231"/>
      <c r="O231"/>
      <c r="P231"/>
      <c r="Q231"/>
    </row>
  </sheetData>
  <sortState ref="A6:Q148">
    <sortCondition ref="D6:D148"/>
  </sortState>
  <mergeCells count="9">
    <mergeCell ref="N3:P3"/>
    <mergeCell ref="Q3:Q4"/>
    <mergeCell ref="B3:B4"/>
    <mergeCell ref="A3:A4"/>
    <mergeCell ref="C3:C4"/>
    <mergeCell ref="D3:D4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6"/>
  <sheetViews>
    <sheetView tabSelected="1" topLeftCell="A51" zoomScale="80" zoomScaleNormal="80" workbookViewId="0">
      <selection activeCell="S70" sqref="S70"/>
    </sheetView>
  </sheetViews>
  <sheetFormatPr defaultRowHeight="15"/>
  <cols>
    <col min="1" max="1" width="7.42578125" customWidth="1"/>
    <col min="2" max="2" width="11.28515625" customWidth="1"/>
    <col min="3" max="3" width="8" customWidth="1"/>
    <col min="4" max="4" width="4" customWidth="1"/>
    <col min="5" max="5" width="5" customWidth="1"/>
    <col min="6" max="6" width="4.42578125" style="59" customWidth="1"/>
    <col min="7" max="7" width="6" customWidth="1"/>
    <col min="8" max="8" width="5.28515625" customWidth="1"/>
    <col min="9" max="9" width="4.5703125" style="110" customWidth="1"/>
    <col min="10" max="10" width="6.42578125" customWidth="1"/>
    <col min="11" max="11" width="5" customWidth="1"/>
    <col min="12" max="12" width="3.7109375" customWidth="1"/>
    <col min="13" max="13" width="6.140625" customWidth="1"/>
    <col min="14" max="14" width="0.140625" customWidth="1"/>
    <col min="15" max="16" width="7.7109375" hidden="1" customWidth="1"/>
    <col min="17" max="17" width="6" customWidth="1"/>
    <col min="18" max="18" width="9.140625" customWidth="1"/>
  </cols>
  <sheetData>
    <row r="1" spans="1:17">
      <c r="A1" s="45" t="s">
        <v>144</v>
      </c>
      <c r="B1" s="45"/>
      <c r="C1" s="49" t="s">
        <v>4</v>
      </c>
    </row>
    <row r="3" spans="1:17" s="1" customFormat="1">
      <c r="A3" s="163" t="s">
        <v>12</v>
      </c>
      <c r="B3" s="163" t="s">
        <v>13</v>
      </c>
      <c r="C3" s="163" t="s">
        <v>0</v>
      </c>
      <c r="D3" s="163" t="s">
        <v>1</v>
      </c>
      <c r="E3" s="162" t="s">
        <v>97</v>
      </c>
      <c r="F3" s="163"/>
      <c r="G3" s="163"/>
      <c r="H3" s="162" t="s">
        <v>98</v>
      </c>
      <c r="I3" s="163"/>
      <c r="J3" s="163"/>
      <c r="K3" s="162" t="s">
        <v>99</v>
      </c>
      <c r="L3" s="163"/>
      <c r="M3" s="163"/>
      <c r="N3" s="162" t="s">
        <v>448</v>
      </c>
      <c r="O3" s="163"/>
      <c r="P3" s="163"/>
      <c r="Q3" s="163" t="s">
        <v>2</v>
      </c>
    </row>
    <row r="4" spans="1:17" s="1" customFormat="1">
      <c r="A4" s="163"/>
      <c r="B4" s="163"/>
      <c r="C4" s="163"/>
      <c r="D4" s="163"/>
      <c r="E4" s="2" t="s">
        <v>6</v>
      </c>
      <c r="F4" s="61" t="s">
        <v>22</v>
      </c>
      <c r="G4" s="2" t="s">
        <v>7</v>
      </c>
      <c r="H4" s="2" t="s">
        <v>6</v>
      </c>
      <c r="I4" s="108" t="s">
        <v>22</v>
      </c>
      <c r="J4" s="2" t="s">
        <v>7</v>
      </c>
      <c r="K4" s="2" t="s">
        <v>6</v>
      </c>
      <c r="L4" s="3" t="s">
        <v>22</v>
      </c>
      <c r="M4" s="2" t="s">
        <v>7</v>
      </c>
      <c r="N4" s="2" t="s">
        <v>6</v>
      </c>
      <c r="O4" s="3" t="s">
        <v>22</v>
      </c>
      <c r="P4" s="2" t="s">
        <v>7</v>
      </c>
      <c r="Q4" s="163"/>
    </row>
    <row r="5" spans="1:17">
      <c r="A5" s="125" t="s">
        <v>17</v>
      </c>
      <c r="B5" s="125" t="s">
        <v>323</v>
      </c>
      <c r="C5" s="145" t="s">
        <v>18</v>
      </c>
      <c r="D5" s="126" t="s">
        <v>8</v>
      </c>
      <c r="E5" s="146">
        <v>4</v>
      </c>
      <c r="F5" s="135">
        <v>4</v>
      </c>
      <c r="G5" s="147">
        <v>0.49374999999999997</v>
      </c>
      <c r="H5" s="148">
        <v>3</v>
      </c>
      <c r="I5" s="126">
        <v>3</v>
      </c>
      <c r="J5" s="130">
        <v>0.43194444444444446</v>
      </c>
      <c r="K5" s="125">
        <v>2</v>
      </c>
      <c r="L5" s="125">
        <v>2</v>
      </c>
      <c r="M5" s="128">
        <v>0.4916666666666667</v>
      </c>
      <c r="N5" s="125"/>
      <c r="O5" s="125"/>
      <c r="P5" s="125"/>
      <c r="Q5" s="125">
        <f t="shared" ref="Q5:Q36" si="0">F5+I5+L5+O5</f>
        <v>9</v>
      </c>
    </row>
    <row r="6" spans="1:17" s="50" customFormat="1">
      <c r="A6" s="125" t="s">
        <v>321</v>
      </c>
      <c r="B6" s="125" t="s">
        <v>84</v>
      </c>
      <c r="C6" s="145" t="s">
        <v>11</v>
      </c>
      <c r="D6" s="126" t="s">
        <v>8</v>
      </c>
      <c r="E6" s="146">
        <v>6</v>
      </c>
      <c r="F6" s="135">
        <v>6</v>
      </c>
      <c r="G6" s="147">
        <v>0.50972222222222219</v>
      </c>
      <c r="H6" s="148">
        <v>6</v>
      </c>
      <c r="I6" s="126">
        <v>6</v>
      </c>
      <c r="J6" s="130">
        <v>0.44861111111111113</v>
      </c>
      <c r="K6" s="125">
        <v>3</v>
      </c>
      <c r="L6" s="125">
        <v>3</v>
      </c>
      <c r="M6" s="128">
        <v>0.50138888888888888</v>
      </c>
      <c r="N6" s="125"/>
      <c r="O6" s="125"/>
      <c r="P6" s="125"/>
      <c r="Q6" s="125">
        <f t="shared" si="0"/>
        <v>15</v>
      </c>
    </row>
    <row r="7" spans="1:17" s="50" customFormat="1">
      <c r="A7" s="125" t="s">
        <v>133</v>
      </c>
      <c r="B7" s="125" t="s">
        <v>39</v>
      </c>
      <c r="C7" s="125" t="s">
        <v>40</v>
      </c>
      <c r="D7" s="126" t="s">
        <v>8</v>
      </c>
      <c r="E7" s="146">
        <v>2</v>
      </c>
      <c r="F7" s="135">
        <v>2</v>
      </c>
      <c r="G7" s="147">
        <v>0.48680555555555555</v>
      </c>
      <c r="H7" s="148">
        <v>4</v>
      </c>
      <c r="I7" s="126">
        <v>4</v>
      </c>
      <c r="J7" s="130">
        <v>0.44097222222222227</v>
      </c>
      <c r="K7" s="125">
        <v>11</v>
      </c>
      <c r="L7" s="125">
        <v>10</v>
      </c>
      <c r="M7" s="128">
        <v>0.52986111111111112</v>
      </c>
      <c r="N7" s="125"/>
      <c r="O7" s="125"/>
      <c r="P7" s="128"/>
      <c r="Q7" s="125">
        <f t="shared" si="0"/>
        <v>16</v>
      </c>
    </row>
    <row r="8" spans="1:17" s="9" customFormat="1">
      <c r="A8" s="34" t="s">
        <v>362</v>
      </c>
      <c r="B8" s="34" t="s">
        <v>123</v>
      </c>
      <c r="C8" s="39" t="s">
        <v>11</v>
      </c>
      <c r="D8" s="47" t="s">
        <v>8</v>
      </c>
      <c r="E8" s="42">
        <v>9</v>
      </c>
      <c r="F8" s="108">
        <v>9</v>
      </c>
      <c r="G8" s="86">
        <v>0.51458333333333328</v>
      </c>
      <c r="H8" s="95">
        <v>7</v>
      </c>
      <c r="I8" s="110">
        <v>7</v>
      </c>
      <c r="J8" s="33">
        <v>0.45</v>
      </c>
      <c r="K8">
        <v>5</v>
      </c>
      <c r="L8" s="34">
        <v>5</v>
      </c>
      <c r="M8" s="6">
        <v>0.50902777777777775</v>
      </c>
      <c r="N8"/>
      <c r="O8" s="34"/>
      <c r="P8" s="50"/>
      <c r="Q8" s="50">
        <f t="shared" si="0"/>
        <v>21</v>
      </c>
    </row>
    <row r="9" spans="1:17" s="34" customFormat="1">
      <c r="A9" s="50" t="s">
        <v>332</v>
      </c>
      <c r="B9" s="50" t="s">
        <v>686</v>
      </c>
      <c r="C9" s="39" t="s">
        <v>23</v>
      </c>
      <c r="D9" s="47" t="s">
        <v>8</v>
      </c>
      <c r="E9" s="42">
        <v>10</v>
      </c>
      <c r="F9" s="108">
        <v>10</v>
      </c>
      <c r="G9" s="86">
        <v>0.51597222222222217</v>
      </c>
      <c r="H9" s="95">
        <v>8</v>
      </c>
      <c r="I9" s="110">
        <v>8</v>
      </c>
      <c r="J9" s="33">
        <v>0.4513888888888889</v>
      </c>
      <c r="K9" s="50">
        <v>9</v>
      </c>
      <c r="L9" s="50">
        <v>9</v>
      </c>
      <c r="M9" s="6">
        <v>0.51944444444444449</v>
      </c>
      <c r="P9" s="50"/>
      <c r="Q9" s="50">
        <f t="shared" si="0"/>
        <v>27</v>
      </c>
    </row>
    <row r="10" spans="1:17">
      <c r="A10" t="s">
        <v>302</v>
      </c>
      <c r="B10" t="s">
        <v>58</v>
      </c>
      <c r="C10" s="51" t="s">
        <v>9</v>
      </c>
      <c r="D10" s="47" t="s">
        <v>8</v>
      </c>
      <c r="E10" s="42">
        <v>20</v>
      </c>
      <c r="F10" s="89">
        <v>17</v>
      </c>
      <c r="G10" s="87">
        <v>0.54652777777777783</v>
      </c>
      <c r="H10" s="95">
        <v>12</v>
      </c>
      <c r="I10" s="110">
        <v>11</v>
      </c>
      <c r="J10" s="33">
        <v>0.45763888888888887</v>
      </c>
      <c r="K10">
        <v>6</v>
      </c>
      <c r="L10">
        <v>6</v>
      </c>
      <c r="M10" s="6">
        <v>0.51111111111111118</v>
      </c>
      <c r="P10" s="50"/>
      <c r="Q10" s="50">
        <f t="shared" si="0"/>
        <v>34</v>
      </c>
    </row>
    <row r="11" spans="1:17" s="34" customFormat="1">
      <c r="A11" s="50" t="s">
        <v>52</v>
      </c>
      <c r="B11" s="50" t="s">
        <v>77</v>
      </c>
      <c r="C11" s="55" t="s">
        <v>78</v>
      </c>
      <c r="D11" s="47" t="s">
        <v>8</v>
      </c>
      <c r="E11" s="42">
        <v>3</v>
      </c>
      <c r="F11" s="108">
        <v>3</v>
      </c>
      <c r="G11" s="86">
        <v>0.4916666666666667</v>
      </c>
      <c r="H11" s="32">
        <v>5</v>
      </c>
      <c r="I11" s="111">
        <v>5</v>
      </c>
      <c r="J11" s="33">
        <v>0.4465277777777778</v>
      </c>
      <c r="K11" s="50"/>
      <c r="L11" s="50">
        <v>27</v>
      </c>
      <c r="M11" s="6"/>
      <c r="P11" s="6"/>
      <c r="Q11" s="50">
        <f t="shared" si="0"/>
        <v>35</v>
      </c>
    </row>
    <row r="12" spans="1:17" s="34" customFormat="1">
      <c r="A12" s="34" t="s">
        <v>209</v>
      </c>
      <c r="B12" s="34" t="s">
        <v>594</v>
      </c>
      <c r="C12" s="39" t="s">
        <v>325</v>
      </c>
      <c r="D12" s="47" t="s">
        <v>8</v>
      </c>
      <c r="E12" s="42"/>
      <c r="F12" s="89">
        <v>36</v>
      </c>
      <c r="G12" s="86"/>
      <c r="H12" s="95">
        <v>2</v>
      </c>
      <c r="I12" s="110">
        <v>2</v>
      </c>
      <c r="J12" s="33">
        <v>0.41388888888888892</v>
      </c>
      <c r="K12" s="34">
        <v>1</v>
      </c>
      <c r="L12" s="34">
        <v>1</v>
      </c>
      <c r="M12" s="6">
        <v>0.48125000000000001</v>
      </c>
      <c r="P12" s="50"/>
      <c r="Q12" s="50">
        <f t="shared" si="0"/>
        <v>39</v>
      </c>
    </row>
    <row r="13" spans="1:17" s="50" customFormat="1">
      <c r="A13" s="50" t="s">
        <v>127</v>
      </c>
      <c r="B13" s="50" t="s">
        <v>297</v>
      </c>
      <c r="C13" s="51" t="s">
        <v>36</v>
      </c>
      <c r="D13" s="47" t="s">
        <v>8</v>
      </c>
      <c r="E13" s="42">
        <v>18</v>
      </c>
      <c r="F13" s="89">
        <v>15</v>
      </c>
      <c r="G13" s="87">
        <v>0.54166666666666663</v>
      </c>
      <c r="H13" s="95">
        <v>20</v>
      </c>
      <c r="I13" s="110">
        <v>15</v>
      </c>
      <c r="J13" s="33">
        <v>0.47569444444444442</v>
      </c>
      <c r="K13" s="50">
        <v>15</v>
      </c>
      <c r="L13" s="50">
        <v>12</v>
      </c>
      <c r="M13" s="6">
        <v>0.5395833333333333</v>
      </c>
      <c r="Q13" s="50">
        <f t="shared" si="0"/>
        <v>42</v>
      </c>
    </row>
    <row r="14" spans="1:17" s="50" customFormat="1">
      <c r="A14" s="50" t="s">
        <v>367</v>
      </c>
      <c r="B14" s="50" t="s">
        <v>368</v>
      </c>
      <c r="C14" s="39" t="s">
        <v>11</v>
      </c>
      <c r="D14" s="47" t="s">
        <v>8</v>
      </c>
      <c r="E14" s="42">
        <v>5</v>
      </c>
      <c r="F14" s="108">
        <v>5</v>
      </c>
      <c r="G14" s="86">
        <v>0.50416666666666665</v>
      </c>
      <c r="H14" s="95"/>
      <c r="I14" s="110">
        <v>36</v>
      </c>
      <c r="J14" s="94"/>
      <c r="K14" s="50">
        <v>8</v>
      </c>
      <c r="L14" s="50">
        <v>8</v>
      </c>
      <c r="M14" s="6">
        <v>0.5180555555555556</v>
      </c>
      <c r="Q14" s="50">
        <f t="shared" si="0"/>
        <v>49</v>
      </c>
    </row>
    <row r="15" spans="1:17" s="50" customFormat="1">
      <c r="A15" s="50" t="s">
        <v>37</v>
      </c>
      <c r="B15" s="50" t="s">
        <v>111</v>
      </c>
      <c r="C15" s="51" t="s">
        <v>36</v>
      </c>
      <c r="D15" s="40" t="s">
        <v>8</v>
      </c>
      <c r="E15" s="51">
        <v>16</v>
      </c>
      <c r="F15" s="89">
        <v>13</v>
      </c>
      <c r="G15" s="87">
        <v>0.53819444444444442</v>
      </c>
      <c r="H15" s="95">
        <v>41</v>
      </c>
      <c r="I15" s="110">
        <v>25</v>
      </c>
      <c r="J15" s="33">
        <v>0.50347222222222221</v>
      </c>
      <c r="K15" s="50">
        <v>12</v>
      </c>
      <c r="L15" s="50">
        <v>11</v>
      </c>
      <c r="M15" s="6">
        <v>0.53541666666666665</v>
      </c>
      <c r="Q15" s="50">
        <f t="shared" si="0"/>
        <v>49</v>
      </c>
    </row>
    <row r="16" spans="1:17" s="50" customFormat="1">
      <c r="A16" s="50" t="s">
        <v>117</v>
      </c>
      <c r="B16" s="50" t="s">
        <v>303</v>
      </c>
      <c r="C16" s="51" t="s">
        <v>9</v>
      </c>
      <c r="D16" s="47" t="s">
        <v>8</v>
      </c>
      <c r="E16" s="42">
        <v>21</v>
      </c>
      <c r="F16" s="89">
        <v>18</v>
      </c>
      <c r="G16" s="87">
        <v>0.54652777777777783</v>
      </c>
      <c r="H16" s="95">
        <v>29</v>
      </c>
      <c r="I16" s="110">
        <v>20</v>
      </c>
      <c r="J16" s="33">
        <v>0.48749999999999999</v>
      </c>
      <c r="K16" s="50">
        <v>20</v>
      </c>
      <c r="L16" s="50">
        <v>14</v>
      </c>
      <c r="M16" s="6">
        <v>0.55763888888888891</v>
      </c>
      <c r="Q16" s="50">
        <f t="shared" si="0"/>
        <v>52</v>
      </c>
    </row>
    <row r="17" spans="1:17" s="34" customFormat="1">
      <c r="A17" s="50" t="s">
        <v>289</v>
      </c>
      <c r="B17" s="50" t="s">
        <v>674</v>
      </c>
      <c r="C17" s="39" t="s">
        <v>11</v>
      </c>
      <c r="D17" s="47" t="s">
        <v>8</v>
      </c>
      <c r="E17" s="42">
        <v>23</v>
      </c>
      <c r="F17" s="89">
        <v>20</v>
      </c>
      <c r="G17" s="86">
        <v>0.54861111111111105</v>
      </c>
      <c r="H17" s="95">
        <v>40</v>
      </c>
      <c r="I17" s="110">
        <v>24</v>
      </c>
      <c r="J17" s="33">
        <v>0.50277777777777777</v>
      </c>
      <c r="K17" s="50">
        <v>21</v>
      </c>
      <c r="L17" s="50">
        <v>15</v>
      </c>
      <c r="M17" s="6">
        <v>0.55972222222222223</v>
      </c>
      <c r="Q17" s="50">
        <f t="shared" si="0"/>
        <v>59</v>
      </c>
    </row>
    <row r="18" spans="1:17" s="34" customFormat="1">
      <c r="A18" s="34" t="s">
        <v>137</v>
      </c>
      <c r="B18" s="34" t="s">
        <v>603</v>
      </c>
      <c r="C18" s="39" t="s">
        <v>11</v>
      </c>
      <c r="D18" s="47" t="s">
        <v>8</v>
      </c>
      <c r="E18" s="42"/>
      <c r="F18" s="89">
        <v>36</v>
      </c>
      <c r="G18" s="86"/>
      <c r="H18" s="95">
        <v>9</v>
      </c>
      <c r="I18" s="110">
        <v>9</v>
      </c>
      <c r="J18" s="33">
        <v>0.45208333333333334</v>
      </c>
      <c r="K18" s="34">
        <v>22</v>
      </c>
      <c r="L18" s="34">
        <v>16</v>
      </c>
      <c r="M18" s="6">
        <v>0.55972222222222223</v>
      </c>
      <c r="P18" s="50"/>
      <c r="Q18" s="50">
        <f t="shared" si="0"/>
        <v>61</v>
      </c>
    </row>
    <row r="19" spans="1:17" s="34" customFormat="1">
      <c r="A19" s="50" t="s">
        <v>126</v>
      </c>
      <c r="B19" s="50" t="s">
        <v>67</v>
      </c>
      <c r="C19" s="39" t="s">
        <v>23</v>
      </c>
      <c r="D19" s="47" t="s">
        <v>8</v>
      </c>
      <c r="E19" s="42"/>
      <c r="F19" s="89">
        <v>36</v>
      </c>
      <c r="G19" s="87"/>
      <c r="H19" s="95">
        <v>1</v>
      </c>
      <c r="I19" s="110">
        <v>1</v>
      </c>
      <c r="J19" s="33">
        <v>0.41319444444444442</v>
      </c>
      <c r="K19" s="50"/>
      <c r="L19" s="50">
        <v>27</v>
      </c>
      <c r="M19" s="50"/>
      <c r="P19" s="50"/>
      <c r="Q19" s="50">
        <f t="shared" si="0"/>
        <v>64</v>
      </c>
    </row>
    <row r="20" spans="1:17" s="34" customFormat="1">
      <c r="A20" s="35" t="s">
        <v>32</v>
      </c>
      <c r="B20" s="35" t="s">
        <v>33</v>
      </c>
      <c r="C20" s="51" t="s">
        <v>36</v>
      </c>
      <c r="D20" s="48" t="s">
        <v>8</v>
      </c>
      <c r="E20" s="51">
        <v>1</v>
      </c>
      <c r="F20" s="108">
        <v>1</v>
      </c>
      <c r="G20" s="86">
        <v>0.48194444444444445</v>
      </c>
      <c r="H20" s="32"/>
      <c r="I20" s="111">
        <v>36</v>
      </c>
      <c r="J20" s="33"/>
      <c r="L20" s="34">
        <v>27</v>
      </c>
      <c r="M20" s="6"/>
      <c r="P20" s="6"/>
      <c r="Q20" s="50">
        <f t="shared" si="0"/>
        <v>64</v>
      </c>
    </row>
    <row r="21" spans="1:17">
      <c r="A21" s="50" t="s">
        <v>330</v>
      </c>
      <c r="B21" s="50" t="s">
        <v>117</v>
      </c>
      <c r="C21" s="39" t="s">
        <v>331</v>
      </c>
      <c r="D21" s="47" t="s">
        <v>8</v>
      </c>
      <c r="E21" s="42">
        <v>30</v>
      </c>
      <c r="F21" s="89">
        <v>23</v>
      </c>
      <c r="G21" s="87">
        <v>0.55694444444444446</v>
      </c>
      <c r="H21" s="95">
        <v>21</v>
      </c>
      <c r="I21" s="110">
        <v>16</v>
      </c>
      <c r="J21" s="33">
        <v>0.48125000000000001</v>
      </c>
      <c r="L21">
        <v>27</v>
      </c>
      <c r="M21" s="50"/>
      <c r="P21" s="50"/>
      <c r="Q21" s="50">
        <f t="shared" si="0"/>
        <v>66</v>
      </c>
    </row>
    <row r="22" spans="1:17" s="50" customFormat="1">
      <c r="A22" s="50" t="s">
        <v>62</v>
      </c>
      <c r="B22" s="50" t="s">
        <v>46</v>
      </c>
      <c r="C22" s="39" t="s">
        <v>23</v>
      </c>
      <c r="D22" s="47" t="s">
        <v>8</v>
      </c>
      <c r="E22" s="42">
        <v>38</v>
      </c>
      <c r="F22" s="89">
        <v>24</v>
      </c>
      <c r="G22" s="87">
        <v>0.57500000000000007</v>
      </c>
      <c r="H22" s="95">
        <v>25</v>
      </c>
      <c r="I22" s="110">
        <v>19</v>
      </c>
      <c r="J22" s="33">
        <v>0.48333333333333334</v>
      </c>
      <c r="L22" s="50">
        <v>27</v>
      </c>
      <c r="Q22" s="50">
        <f t="shared" si="0"/>
        <v>70</v>
      </c>
    </row>
    <row r="23" spans="1:17">
      <c r="A23" s="50" t="s">
        <v>152</v>
      </c>
      <c r="B23" s="50" t="s">
        <v>346</v>
      </c>
      <c r="C23" s="51" t="s">
        <v>163</v>
      </c>
      <c r="D23" s="47" t="s">
        <v>8</v>
      </c>
      <c r="E23" s="50">
        <v>28</v>
      </c>
      <c r="F23" s="89">
        <v>22</v>
      </c>
      <c r="G23" s="87">
        <v>0.55347222222222225</v>
      </c>
      <c r="H23" s="95">
        <v>30</v>
      </c>
      <c r="I23" s="110">
        <v>21</v>
      </c>
      <c r="J23" s="33">
        <v>0.48819444444444443</v>
      </c>
      <c r="K23" s="50"/>
      <c r="L23" s="50">
        <v>27</v>
      </c>
      <c r="M23" s="50"/>
      <c r="P23" s="50"/>
      <c r="Q23" s="50">
        <f t="shared" si="0"/>
        <v>70</v>
      </c>
    </row>
    <row r="24" spans="1:17" s="50" customFormat="1">
      <c r="A24" s="50" t="s">
        <v>482</v>
      </c>
      <c r="B24" s="50" t="s">
        <v>61</v>
      </c>
      <c r="C24" s="39" t="s">
        <v>23</v>
      </c>
      <c r="D24" s="47" t="s">
        <v>8</v>
      </c>
      <c r="E24" s="42">
        <v>7</v>
      </c>
      <c r="F24" s="108">
        <v>7</v>
      </c>
      <c r="G24" s="86">
        <v>0.51250000000000007</v>
      </c>
      <c r="H24" s="95"/>
      <c r="I24" s="110">
        <v>36</v>
      </c>
      <c r="J24" s="94"/>
      <c r="L24" s="50">
        <v>27</v>
      </c>
      <c r="Q24" s="50">
        <f t="shared" si="0"/>
        <v>70</v>
      </c>
    </row>
    <row r="25" spans="1:17" s="10" customFormat="1">
      <c r="A25" s="34" t="s">
        <v>324</v>
      </c>
      <c r="B25" t="s">
        <v>19</v>
      </c>
      <c r="C25" s="39" t="s">
        <v>325</v>
      </c>
      <c r="D25" s="47" t="s">
        <v>8</v>
      </c>
      <c r="E25" s="42">
        <v>8</v>
      </c>
      <c r="F25" s="108">
        <v>8</v>
      </c>
      <c r="G25" s="86">
        <v>0.51388888888888895</v>
      </c>
      <c r="H25" s="95"/>
      <c r="I25" s="110">
        <v>36</v>
      </c>
      <c r="J25" s="94"/>
      <c r="K25"/>
      <c r="L25">
        <v>27</v>
      </c>
      <c r="M25" s="50"/>
      <c r="N25"/>
      <c r="O25"/>
      <c r="P25" s="50"/>
      <c r="Q25" s="50">
        <f t="shared" si="0"/>
        <v>71</v>
      </c>
    </row>
    <row r="26" spans="1:17" s="11" customFormat="1">
      <c r="A26" s="50" t="s">
        <v>577</v>
      </c>
      <c r="B26" s="50" t="s">
        <v>537</v>
      </c>
      <c r="C26" s="39" t="s">
        <v>214</v>
      </c>
      <c r="D26" s="47" t="s">
        <v>8</v>
      </c>
      <c r="E26" s="42"/>
      <c r="F26" s="89">
        <v>36</v>
      </c>
      <c r="G26" s="86"/>
      <c r="H26" s="95">
        <v>24</v>
      </c>
      <c r="I26" s="110">
        <v>18</v>
      </c>
      <c r="J26" s="33">
        <v>0.4826388888888889</v>
      </c>
      <c r="K26" s="50">
        <v>28</v>
      </c>
      <c r="L26" s="50">
        <v>18</v>
      </c>
      <c r="M26" s="6">
        <v>0.58194444444444449</v>
      </c>
      <c r="N26"/>
      <c r="O26"/>
      <c r="P26" s="50"/>
      <c r="Q26" s="50">
        <f t="shared" si="0"/>
        <v>72</v>
      </c>
    </row>
    <row r="27" spans="1:17">
      <c r="A27" s="50" t="s">
        <v>585</v>
      </c>
      <c r="B27" s="50" t="s">
        <v>586</v>
      </c>
      <c r="C27" s="55" t="s">
        <v>78</v>
      </c>
      <c r="D27" s="47" t="s">
        <v>8</v>
      </c>
      <c r="E27" s="42"/>
      <c r="F27" s="89">
        <v>36</v>
      </c>
      <c r="G27" s="86"/>
      <c r="H27" s="32">
        <v>10</v>
      </c>
      <c r="I27" s="111">
        <v>10</v>
      </c>
      <c r="J27" s="33">
        <v>0.45277777777777778</v>
      </c>
      <c r="L27">
        <v>27</v>
      </c>
      <c r="M27" s="6"/>
      <c r="P27" s="6"/>
      <c r="Q27" s="50">
        <f t="shared" si="0"/>
        <v>73</v>
      </c>
    </row>
    <row r="28" spans="1:17">
      <c r="A28" s="50" t="s">
        <v>337</v>
      </c>
      <c r="B28" s="50" t="s">
        <v>338</v>
      </c>
      <c r="C28" s="39" t="s">
        <v>23</v>
      </c>
      <c r="D28" s="47" t="s">
        <v>8</v>
      </c>
      <c r="E28" s="42">
        <v>40</v>
      </c>
      <c r="F28" s="89">
        <v>25</v>
      </c>
      <c r="G28" s="87">
        <v>0.57638888888888895</v>
      </c>
      <c r="H28" s="95">
        <v>31</v>
      </c>
      <c r="I28" s="110">
        <v>22</v>
      </c>
      <c r="J28" s="33">
        <v>0.48888888888888887</v>
      </c>
      <c r="K28" s="50"/>
      <c r="L28" s="50">
        <v>27</v>
      </c>
      <c r="M28" s="50"/>
      <c r="P28" s="50"/>
      <c r="Q28" s="50">
        <f t="shared" si="0"/>
        <v>74</v>
      </c>
    </row>
    <row r="29" spans="1:17">
      <c r="A29" s="50" t="s">
        <v>41</v>
      </c>
      <c r="B29" s="50" t="s">
        <v>134</v>
      </c>
      <c r="C29" s="51" t="s">
        <v>40</v>
      </c>
      <c r="D29" s="47" t="s">
        <v>8</v>
      </c>
      <c r="E29" s="42">
        <v>11</v>
      </c>
      <c r="F29" s="89">
        <v>11</v>
      </c>
      <c r="G29" s="87">
        <v>0.51666666666666672</v>
      </c>
      <c r="H29" s="95"/>
      <c r="I29" s="110">
        <v>36</v>
      </c>
      <c r="J29" s="94"/>
      <c r="L29">
        <v>27</v>
      </c>
      <c r="M29" s="50"/>
      <c r="P29" s="50"/>
      <c r="Q29" s="50">
        <f t="shared" si="0"/>
        <v>74</v>
      </c>
    </row>
    <row r="30" spans="1:17" s="34" customFormat="1">
      <c r="A30" s="50" t="s">
        <v>337</v>
      </c>
      <c r="B30" s="50" t="s">
        <v>685</v>
      </c>
      <c r="C30" s="39" t="s">
        <v>174</v>
      </c>
      <c r="D30" s="47" t="s">
        <v>8</v>
      </c>
      <c r="E30" s="42"/>
      <c r="F30" s="89">
        <v>36</v>
      </c>
      <c r="G30" s="86"/>
      <c r="H30" s="95">
        <v>14</v>
      </c>
      <c r="I30" s="110">
        <v>12</v>
      </c>
      <c r="J30" s="33">
        <v>0.46111111111111108</v>
      </c>
      <c r="K30"/>
      <c r="L30">
        <v>27</v>
      </c>
      <c r="M30" s="50"/>
      <c r="N30"/>
      <c r="O30"/>
      <c r="P30" s="50"/>
      <c r="Q30" s="50">
        <f t="shared" si="0"/>
        <v>75</v>
      </c>
    </row>
    <row r="31" spans="1:17" s="34" customFormat="1" ht="0.75" customHeight="1">
      <c r="A31" s="50" t="s">
        <v>261</v>
      </c>
      <c r="B31" s="50" t="s">
        <v>311</v>
      </c>
      <c r="C31" s="51" t="s">
        <v>40</v>
      </c>
      <c r="D31" s="47" t="s">
        <v>8</v>
      </c>
      <c r="E31" s="42">
        <v>15</v>
      </c>
      <c r="F31" s="89">
        <v>12</v>
      </c>
      <c r="G31" s="87">
        <v>0.53055555555555556</v>
      </c>
      <c r="H31" s="95"/>
      <c r="I31" s="110">
        <v>36</v>
      </c>
      <c r="J31" s="94"/>
      <c r="K31" s="50"/>
      <c r="L31" s="50">
        <v>27</v>
      </c>
      <c r="M31" s="50"/>
      <c r="N31"/>
      <c r="O31"/>
      <c r="P31" s="50"/>
      <c r="Q31" s="50">
        <f t="shared" si="0"/>
        <v>75</v>
      </c>
    </row>
    <row r="32" spans="1:17" s="34" customFormat="1" ht="15" customHeight="1">
      <c r="A32" s="50" t="s">
        <v>62</v>
      </c>
      <c r="B32" s="50" t="s">
        <v>730</v>
      </c>
      <c r="C32" s="55" t="s">
        <v>78</v>
      </c>
      <c r="D32" s="47" t="s">
        <v>8</v>
      </c>
      <c r="E32" s="42"/>
      <c r="F32" s="89">
        <v>36</v>
      </c>
      <c r="G32" s="86"/>
      <c r="H32" s="32"/>
      <c r="I32" s="110">
        <v>36</v>
      </c>
      <c r="J32" s="33"/>
      <c r="K32">
        <v>4</v>
      </c>
      <c r="L32" s="50">
        <v>4</v>
      </c>
      <c r="M32" s="6">
        <v>0.50555555555555554</v>
      </c>
      <c r="N32"/>
      <c r="O32"/>
      <c r="P32" s="6"/>
      <c r="Q32" s="50">
        <f t="shared" si="0"/>
        <v>76</v>
      </c>
    </row>
    <row r="33" spans="1:17" s="50" customFormat="1" ht="15" customHeight="1">
      <c r="A33" s="50" t="s">
        <v>597</v>
      </c>
      <c r="B33" s="50" t="s">
        <v>598</v>
      </c>
      <c r="C33" s="51" t="s">
        <v>163</v>
      </c>
      <c r="D33" s="47" t="s">
        <v>8</v>
      </c>
      <c r="F33" s="89">
        <v>36</v>
      </c>
      <c r="G33" s="87"/>
      <c r="H33" s="95">
        <v>15</v>
      </c>
      <c r="I33" s="110">
        <v>13</v>
      </c>
      <c r="J33" s="33">
        <v>0.4680555555555555</v>
      </c>
      <c r="L33" s="50">
        <v>27</v>
      </c>
      <c r="Q33" s="50">
        <f t="shared" si="0"/>
        <v>76</v>
      </c>
    </row>
    <row r="34" spans="1:17" s="50" customFormat="1" ht="15" customHeight="1">
      <c r="A34" s="50" t="s">
        <v>126</v>
      </c>
      <c r="B34" s="50" t="s">
        <v>583</v>
      </c>
      <c r="C34" s="39" t="s">
        <v>174</v>
      </c>
      <c r="D34" s="47" t="s">
        <v>8</v>
      </c>
      <c r="E34" s="42"/>
      <c r="F34" s="89">
        <v>36</v>
      </c>
      <c r="G34" s="86"/>
      <c r="H34" s="95">
        <v>19</v>
      </c>
      <c r="I34" s="110">
        <v>14</v>
      </c>
      <c r="J34" s="33">
        <v>0.47500000000000003</v>
      </c>
      <c r="L34" s="50">
        <v>27</v>
      </c>
      <c r="Q34" s="50">
        <f t="shared" si="0"/>
        <v>77</v>
      </c>
    </row>
    <row r="35" spans="1:17" s="50" customFormat="1" ht="14.25" customHeight="1">
      <c r="A35" s="56" t="s">
        <v>65</v>
      </c>
      <c r="B35" s="56" t="s">
        <v>339</v>
      </c>
      <c r="C35" s="39" t="s">
        <v>23</v>
      </c>
      <c r="D35" s="47" t="s">
        <v>8</v>
      </c>
      <c r="E35" s="42">
        <v>42</v>
      </c>
      <c r="F35" s="89">
        <v>27</v>
      </c>
      <c r="G35" s="87">
        <v>0.58472222222222225</v>
      </c>
      <c r="H35" s="95">
        <v>35</v>
      </c>
      <c r="I35" s="110">
        <v>23</v>
      </c>
      <c r="J35" s="33">
        <v>0.49652777777777773</v>
      </c>
      <c r="L35" s="50">
        <v>27</v>
      </c>
      <c r="Q35" s="50">
        <f t="shared" si="0"/>
        <v>77</v>
      </c>
    </row>
    <row r="36" spans="1:17" s="34" customFormat="1" ht="15" customHeight="1">
      <c r="A36" s="50" t="s">
        <v>347</v>
      </c>
      <c r="B36" s="50" t="s">
        <v>348</v>
      </c>
      <c r="C36" s="55" t="s">
        <v>78</v>
      </c>
      <c r="D36" s="47" t="s">
        <v>8</v>
      </c>
      <c r="E36" s="42">
        <v>17</v>
      </c>
      <c r="F36" s="89">
        <v>14</v>
      </c>
      <c r="G36" s="87">
        <v>0.5395833333333333</v>
      </c>
      <c r="H36" s="50"/>
      <c r="I36" s="110">
        <v>36</v>
      </c>
      <c r="J36" s="94"/>
      <c r="K36"/>
      <c r="L36" s="50">
        <v>27</v>
      </c>
      <c r="M36" s="50"/>
      <c r="N36"/>
      <c r="O36"/>
      <c r="P36" s="50"/>
      <c r="Q36" s="50">
        <f t="shared" si="0"/>
        <v>77</v>
      </c>
    </row>
    <row r="37" spans="1:17" s="34" customFormat="1" ht="15" customHeight="1">
      <c r="A37" s="50" t="s">
        <v>724</v>
      </c>
      <c r="B37" s="50" t="s">
        <v>725</v>
      </c>
      <c r="C37" s="51" t="s">
        <v>9</v>
      </c>
      <c r="D37" s="47" t="s">
        <v>8</v>
      </c>
      <c r="E37" s="42"/>
      <c r="F37" s="89">
        <v>36</v>
      </c>
      <c r="G37" s="87"/>
      <c r="H37" s="95"/>
      <c r="I37" s="110">
        <v>36</v>
      </c>
      <c r="J37" s="33"/>
      <c r="K37" s="50">
        <v>7</v>
      </c>
      <c r="L37" s="50">
        <v>7</v>
      </c>
      <c r="M37" s="6">
        <v>0.51458333333333328</v>
      </c>
      <c r="N37"/>
      <c r="O37"/>
      <c r="P37" s="50"/>
      <c r="Q37" s="50">
        <f t="shared" ref="Q37:Q68" si="1">F37+I37+L37+O37</f>
        <v>79</v>
      </c>
    </row>
    <row r="38" spans="1:17" s="50" customFormat="1" ht="15" customHeight="1">
      <c r="A38" s="50" t="s">
        <v>321</v>
      </c>
      <c r="B38" s="50" t="s">
        <v>322</v>
      </c>
      <c r="C38" s="39" t="s">
        <v>207</v>
      </c>
      <c r="D38" s="47" t="s">
        <v>8</v>
      </c>
      <c r="E38" s="42">
        <v>19</v>
      </c>
      <c r="F38" s="89">
        <v>16</v>
      </c>
      <c r="G38" s="87">
        <v>0.54583333333333328</v>
      </c>
      <c r="H38" s="95"/>
      <c r="I38" s="110">
        <v>36</v>
      </c>
      <c r="J38" s="94"/>
      <c r="L38" s="50">
        <v>27</v>
      </c>
      <c r="Q38" s="50">
        <f t="shared" si="1"/>
        <v>79</v>
      </c>
    </row>
    <row r="39" spans="1:17" s="34" customFormat="1" ht="15" customHeight="1">
      <c r="A39" s="50" t="s">
        <v>483</v>
      </c>
      <c r="B39" s="50" t="s">
        <v>484</v>
      </c>
      <c r="C39" s="39" t="s">
        <v>11</v>
      </c>
      <c r="D39" s="47" t="s">
        <v>8</v>
      </c>
      <c r="E39" s="42"/>
      <c r="F39" s="89">
        <v>36</v>
      </c>
      <c r="G39" s="86"/>
      <c r="H39" s="95">
        <v>55</v>
      </c>
      <c r="I39" s="110">
        <v>24</v>
      </c>
      <c r="J39" s="33">
        <v>0.52986111111111112</v>
      </c>
      <c r="K39" s="50">
        <v>32</v>
      </c>
      <c r="L39" s="50">
        <v>20</v>
      </c>
      <c r="M39" s="6">
        <v>0.59930555555555554</v>
      </c>
      <c r="N39"/>
      <c r="O39"/>
      <c r="P39" s="50"/>
      <c r="Q39" s="50">
        <f t="shared" si="1"/>
        <v>80</v>
      </c>
    </row>
    <row r="40" spans="1:17" s="50" customFormat="1" ht="15" customHeight="1">
      <c r="A40" s="50" t="s">
        <v>591</v>
      </c>
      <c r="B40" s="50" t="s">
        <v>592</v>
      </c>
      <c r="C40" s="55" t="s">
        <v>78</v>
      </c>
      <c r="D40" s="47" t="s">
        <v>8</v>
      </c>
      <c r="E40" s="42"/>
      <c r="F40" s="89">
        <v>36</v>
      </c>
      <c r="G40" s="86"/>
      <c r="H40" s="32">
        <v>23</v>
      </c>
      <c r="I40" s="111">
        <v>17</v>
      </c>
      <c r="J40" s="33">
        <v>0.48194444444444445</v>
      </c>
      <c r="L40" s="50">
        <v>27</v>
      </c>
      <c r="M40" s="6"/>
      <c r="P40" s="6"/>
      <c r="Q40" s="50">
        <f t="shared" si="1"/>
        <v>80</v>
      </c>
    </row>
    <row r="41" spans="1:17" s="50" customFormat="1" ht="15" customHeight="1">
      <c r="A41" s="50" t="s">
        <v>165</v>
      </c>
      <c r="B41" s="50" t="s">
        <v>316</v>
      </c>
      <c r="C41" s="51" t="s">
        <v>318</v>
      </c>
      <c r="D41" s="47" t="s">
        <v>8</v>
      </c>
      <c r="E41" s="42">
        <v>22</v>
      </c>
      <c r="F41" s="89">
        <v>19</v>
      </c>
      <c r="G41" s="86">
        <v>0.54652777777777783</v>
      </c>
      <c r="H41" s="95"/>
      <c r="I41" s="110">
        <v>36</v>
      </c>
      <c r="J41" s="94"/>
      <c r="L41" s="50">
        <v>27</v>
      </c>
      <c r="Q41" s="50">
        <f t="shared" si="1"/>
        <v>82</v>
      </c>
    </row>
    <row r="42" spans="1:17" s="50" customFormat="1" ht="15" customHeight="1">
      <c r="A42" s="50" t="s">
        <v>289</v>
      </c>
      <c r="B42" s="50" t="s">
        <v>290</v>
      </c>
      <c r="C42" s="51" t="s">
        <v>36</v>
      </c>
      <c r="D42" s="40" t="s">
        <v>8</v>
      </c>
      <c r="E42" s="42">
        <v>48</v>
      </c>
      <c r="F42" s="89">
        <v>31</v>
      </c>
      <c r="G42" s="87">
        <v>0.60069444444444442</v>
      </c>
      <c r="H42" s="95">
        <v>49</v>
      </c>
      <c r="I42" s="110">
        <v>28</v>
      </c>
      <c r="J42" s="33">
        <v>0.51041666666666663</v>
      </c>
      <c r="K42" s="50">
        <v>38</v>
      </c>
      <c r="L42" s="50">
        <v>25</v>
      </c>
      <c r="M42" s="6">
        <v>0.625</v>
      </c>
      <c r="Q42" s="50">
        <f t="shared" si="1"/>
        <v>84</v>
      </c>
    </row>
    <row r="43" spans="1:17" s="50" customFormat="1" ht="15" customHeight="1">
      <c r="A43" s="50" t="s">
        <v>79</v>
      </c>
      <c r="B43" s="50" t="s">
        <v>349</v>
      </c>
      <c r="C43" s="55" t="s">
        <v>78</v>
      </c>
      <c r="D43" s="47" t="s">
        <v>8</v>
      </c>
      <c r="E43" s="42">
        <v>24</v>
      </c>
      <c r="F43" s="89">
        <v>21</v>
      </c>
      <c r="G43" s="86">
        <v>0.5493055555555556</v>
      </c>
      <c r="H43" s="95"/>
      <c r="I43" s="110">
        <v>36</v>
      </c>
      <c r="J43" s="94"/>
      <c r="L43" s="50">
        <v>27</v>
      </c>
      <c r="Q43" s="50">
        <f t="shared" si="1"/>
        <v>84</v>
      </c>
    </row>
    <row r="44" spans="1:17" s="34" customFormat="1" ht="15" customHeight="1">
      <c r="A44" s="50" t="s">
        <v>738</v>
      </c>
      <c r="B44" s="50" t="s">
        <v>739</v>
      </c>
      <c r="C44" s="51" t="s">
        <v>36</v>
      </c>
      <c r="D44" s="40" t="s">
        <v>8</v>
      </c>
      <c r="E44" s="51"/>
      <c r="F44" s="89">
        <v>36</v>
      </c>
      <c r="G44" s="87"/>
      <c r="H44" s="95"/>
      <c r="I44" s="110">
        <v>36</v>
      </c>
      <c r="J44" s="33"/>
      <c r="K44" s="50">
        <v>17</v>
      </c>
      <c r="L44" s="50">
        <v>13</v>
      </c>
      <c r="M44" s="6">
        <v>0.54652777777777783</v>
      </c>
      <c r="N44"/>
      <c r="O44"/>
      <c r="P44" s="50"/>
      <c r="Q44" s="50">
        <f t="shared" si="1"/>
        <v>85</v>
      </c>
    </row>
    <row r="45" spans="1:17" s="50" customFormat="1" ht="15" customHeight="1">
      <c r="A45" s="50" t="s">
        <v>328</v>
      </c>
      <c r="B45" s="50" t="s">
        <v>329</v>
      </c>
      <c r="C45" s="39" t="s">
        <v>174</v>
      </c>
      <c r="D45" s="47" t="s">
        <v>8</v>
      </c>
      <c r="E45" s="42">
        <v>65</v>
      </c>
      <c r="F45" s="89">
        <v>35</v>
      </c>
      <c r="G45" s="86">
        <v>0.64444444444444449</v>
      </c>
      <c r="H45" s="95">
        <v>57</v>
      </c>
      <c r="I45" s="110">
        <v>32</v>
      </c>
      <c r="J45" s="33">
        <v>0.53333333333333333</v>
      </c>
      <c r="K45" s="50">
        <v>30</v>
      </c>
      <c r="L45" s="50">
        <v>19</v>
      </c>
      <c r="M45" s="6">
        <v>0.59097222222222223</v>
      </c>
      <c r="Q45" s="50">
        <f t="shared" si="1"/>
        <v>86</v>
      </c>
    </row>
    <row r="46" spans="1:17" s="34" customFormat="1" ht="15" customHeight="1">
      <c r="A46" s="34" t="s">
        <v>726</v>
      </c>
      <c r="B46" t="s">
        <v>725</v>
      </c>
      <c r="C46" s="51" t="s">
        <v>9</v>
      </c>
      <c r="D46" s="47" t="s">
        <v>8</v>
      </c>
      <c r="E46" s="42"/>
      <c r="F46" s="89">
        <v>36</v>
      </c>
      <c r="G46" s="87"/>
      <c r="H46" s="95"/>
      <c r="I46" s="110">
        <v>36</v>
      </c>
      <c r="J46" s="33"/>
      <c r="K46">
        <v>24</v>
      </c>
      <c r="L46" s="50">
        <v>17</v>
      </c>
      <c r="M46" s="6">
        <v>0.56874999999999998</v>
      </c>
      <c r="N46"/>
      <c r="O46"/>
      <c r="P46" s="50"/>
      <c r="Q46" s="50">
        <f t="shared" si="1"/>
        <v>89</v>
      </c>
    </row>
    <row r="47" spans="1:17" ht="15" customHeight="1">
      <c r="A47" s="50" t="s">
        <v>574</v>
      </c>
      <c r="B47" s="50" t="s">
        <v>575</v>
      </c>
      <c r="C47" s="39" t="s">
        <v>18</v>
      </c>
      <c r="D47" s="47" t="s">
        <v>8</v>
      </c>
      <c r="E47" s="42"/>
      <c r="F47" s="89">
        <v>36</v>
      </c>
      <c r="G47" s="86"/>
      <c r="H47" s="95">
        <v>43</v>
      </c>
      <c r="I47" s="110">
        <v>26</v>
      </c>
      <c r="J47" s="33">
        <v>0.50486111111111109</v>
      </c>
      <c r="L47" s="50">
        <v>27</v>
      </c>
      <c r="M47" s="50"/>
      <c r="P47" s="50"/>
      <c r="Q47" s="50">
        <f t="shared" si="1"/>
        <v>89</v>
      </c>
    </row>
    <row r="48" spans="1:17" ht="15" customHeight="1">
      <c r="A48" s="50" t="s">
        <v>483</v>
      </c>
      <c r="B48" s="50" t="s">
        <v>484</v>
      </c>
      <c r="C48" s="39" t="s">
        <v>11</v>
      </c>
      <c r="D48" s="47" t="s">
        <v>8</v>
      </c>
      <c r="E48" s="42">
        <v>41</v>
      </c>
      <c r="F48" s="89">
        <v>26</v>
      </c>
      <c r="G48" s="87">
        <v>0.58263888888888882</v>
      </c>
      <c r="H48" s="95"/>
      <c r="I48" s="110">
        <v>36</v>
      </c>
      <c r="J48" s="94"/>
      <c r="L48" s="50">
        <v>27</v>
      </c>
      <c r="M48" s="50"/>
      <c r="P48" s="50"/>
      <c r="Q48" s="50">
        <f t="shared" si="1"/>
        <v>89</v>
      </c>
    </row>
    <row r="49" spans="1:17" s="12" customFormat="1" ht="15" customHeight="1">
      <c r="A49" s="50" t="s">
        <v>585</v>
      </c>
      <c r="B49" s="50" t="s">
        <v>691</v>
      </c>
      <c r="C49" s="39" t="s">
        <v>23</v>
      </c>
      <c r="D49" s="47" t="s">
        <v>8</v>
      </c>
      <c r="E49" s="42"/>
      <c r="F49" s="89">
        <v>36</v>
      </c>
      <c r="G49" s="87"/>
      <c r="H49" s="95">
        <v>45</v>
      </c>
      <c r="I49" s="110">
        <v>27</v>
      </c>
      <c r="J49" s="33">
        <v>0.50694444444444442</v>
      </c>
      <c r="K49"/>
      <c r="L49" s="50">
        <v>27</v>
      </c>
      <c r="M49" s="50"/>
      <c r="N49"/>
      <c r="O49"/>
      <c r="P49" s="50"/>
      <c r="Q49" s="50">
        <f t="shared" si="1"/>
        <v>90</v>
      </c>
    </row>
    <row r="50" spans="1:17" s="13" customFormat="1" ht="15" customHeight="1">
      <c r="A50" s="50" t="s">
        <v>289</v>
      </c>
      <c r="B50" s="50" t="s">
        <v>584</v>
      </c>
      <c r="C50" s="39" t="s">
        <v>174</v>
      </c>
      <c r="D50" s="47" t="s">
        <v>8</v>
      </c>
      <c r="E50" s="42"/>
      <c r="F50" s="89">
        <v>36</v>
      </c>
      <c r="G50" s="86"/>
      <c r="H50" s="95">
        <v>54</v>
      </c>
      <c r="I50" s="110">
        <v>31</v>
      </c>
      <c r="J50" s="33">
        <v>0.52361111111111114</v>
      </c>
      <c r="K50">
        <v>36</v>
      </c>
      <c r="L50" s="50">
        <v>24</v>
      </c>
      <c r="M50" s="6">
        <v>0.62222222222222223</v>
      </c>
      <c r="N50"/>
      <c r="O50"/>
      <c r="P50"/>
      <c r="Q50" s="50">
        <f t="shared" si="1"/>
        <v>91</v>
      </c>
    </row>
    <row r="51" spans="1:17" ht="15" customHeight="1">
      <c r="A51" s="50" t="s">
        <v>91</v>
      </c>
      <c r="B51" s="50" t="s">
        <v>350</v>
      </c>
      <c r="C51" s="55" t="s">
        <v>78</v>
      </c>
      <c r="D51" s="47" t="s">
        <v>8</v>
      </c>
      <c r="E51" s="42">
        <v>43</v>
      </c>
      <c r="F51" s="89">
        <v>28</v>
      </c>
      <c r="G51" s="87">
        <v>0.5854166666666667</v>
      </c>
      <c r="H51" s="95"/>
      <c r="I51" s="110">
        <v>36</v>
      </c>
      <c r="J51" s="94"/>
      <c r="L51" s="50">
        <v>27</v>
      </c>
      <c r="M51" s="50"/>
      <c r="P51" s="50"/>
      <c r="Q51" s="50">
        <f t="shared" si="1"/>
        <v>91</v>
      </c>
    </row>
    <row r="52" spans="1:17" ht="11.25" customHeight="1">
      <c r="A52" t="s">
        <v>507</v>
      </c>
      <c r="B52" t="s">
        <v>599</v>
      </c>
      <c r="C52" s="51" t="s">
        <v>163</v>
      </c>
      <c r="D52" s="47" t="s">
        <v>8</v>
      </c>
      <c r="E52" s="42"/>
      <c r="F52" s="89">
        <v>36</v>
      </c>
      <c r="G52" s="86"/>
      <c r="H52" s="95">
        <v>50</v>
      </c>
      <c r="I52" s="110">
        <v>29</v>
      </c>
      <c r="J52" s="33">
        <v>0.51458333333333328</v>
      </c>
      <c r="L52" s="50">
        <v>27</v>
      </c>
      <c r="M52" s="50"/>
      <c r="P52" s="50"/>
      <c r="Q52" s="50">
        <f t="shared" si="1"/>
        <v>92</v>
      </c>
    </row>
    <row r="53" spans="1:17">
      <c r="A53" t="s">
        <v>91</v>
      </c>
      <c r="B53" t="s">
        <v>92</v>
      </c>
      <c r="C53" s="51" t="s">
        <v>36</v>
      </c>
      <c r="D53" s="47" t="s">
        <v>8</v>
      </c>
      <c r="E53" s="42">
        <v>45</v>
      </c>
      <c r="F53" s="89">
        <v>29</v>
      </c>
      <c r="G53" s="87">
        <v>0.59861111111111109</v>
      </c>
      <c r="H53" s="95"/>
      <c r="I53" s="110">
        <v>36</v>
      </c>
      <c r="J53" s="94"/>
      <c r="L53" s="50">
        <v>27</v>
      </c>
      <c r="M53" s="50"/>
      <c r="P53" s="50"/>
      <c r="Q53" s="50">
        <f t="shared" si="1"/>
        <v>92</v>
      </c>
    </row>
    <row r="54" spans="1:17" s="50" customFormat="1">
      <c r="A54" s="50" t="s">
        <v>300</v>
      </c>
      <c r="B54" s="50" t="s">
        <v>301</v>
      </c>
      <c r="C54" s="51" t="s">
        <v>36</v>
      </c>
      <c r="D54" s="40" t="s">
        <v>8</v>
      </c>
      <c r="E54" s="51"/>
      <c r="F54" s="89">
        <v>36</v>
      </c>
      <c r="G54" s="87"/>
      <c r="H54" s="95"/>
      <c r="I54" s="110">
        <v>36</v>
      </c>
      <c r="J54" s="33"/>
      <c r="K54" s="50">
        <v>33</v>
      </c>
      <c r="L54" s="50">
        <v>21</v>
      </c>
      <c r="M54" s="6">
        <v>0.60833333333333328</v>
      </c>
      <c r="Q54" s="50">
        <f t="shared" si="1"/>
        <v>93</v>
      </c>
    </row>
    <row r="55" spans="1:17">
      <c r="A55" s="50" t="s">
        <v>600</v>
      </c>
      <c r="B55" s="50" t="s">
        <v>601</v>
      </c>
      <c r="C55" s="39" t="s">
        <v>23</v>
      </c>
      <c r="D55" s="47" t="s">
        <v>8</v>
      </c>
      <c r="E55" s="42"/>
      <c r="F55" s="89">
        <v>36</v>
      </c>
      <c r="G55" s="86"/>
      <c r="H55" s="95">
        <v>53</v>
      </c>
      <c r="I55" s="110">
        <v>30</v>
      </c>
      <c r="J55" s="33">
        <v>0.52222222222222225</v>
      </c>
      <c r="L55" s="50">
        <v>27</v>
      </c>
      <c r="M55" s="50"/>
      <c r="P55" s="50"/>
      <c r="Q55" s="50">
        <f t="shared" si="1"/>
        <v>93</v>
      </c>
    </row>
    <row r="56" spans="1:17" s="50" customFormat="1">
      <c r="A56" s="50" t="s">
        <v>300</v>
      </c>
      <c r="B56" s="50" t="s">
        <v>301</v>
      </c>
      <c r="C56" s="51" t="s">
        <v>36</v>
      </c>
      <c r="D56" s="47" t="s">
        <v>8</v>
      </c>
      <c r="E56" s="42">
        <v>47</v>
      </c>
      <c r="F56" s="89">
        <v>30</v>
      </c>
      <c r="G56" s="87">
        <v>0.6</v>
      </c>
      <c r="H56" s="95"/>
      <c r="I56" s="110">
        <v>36</v>
      </c>
      <c r="J56" s="94"/>
      <c r="L56" s="50">
        <v>27</v>
      </c>
      <c r="Q56" s="50">
        <f t="shared" si="1"/>
        <v>93</v>
      </c>
    </row>
    <row r="57" spans="1:17" s="50" customFormat="1">
      <c r="A57" s="50" t="s">
        <v>736</v>
      </c>
      <c r="B57" s="50" t="s">
        <v>737</v>
      </c>
      <c r="C57" s="39" t="s">
        <v>214</v>
      </c>
      <c r="D57" s="47" t="s">
        <v>8</v>
      </c>
      <c r="E57" s="42"/>
      <c r="F57" s="89">
        <v>36</v>
      </c>
      <c r="G57" s="86"/>
      <c r="H57" s="95"/>
      <c r="I57" s="110">
        <v>36</v>
      </c>
      <c r="J57" s="33"/>
      <c r="K57" s="50">
        <v>34</v>
      </c>
      <c r="L57" s="50">
        <v>22</v>
      </c>
      <c r="M57" s="6">
        <v>0.6118055555555556</v>
      </c>
      <c r="Q57" s="50">
        <f t="shared" si="1"/>
        <v>94</v>
      </c>
    </row>
    <row r="58" spans="1:17">
      <c r="A58" s="50" t="s">
        <v>740</v>
      </c>
      <c r="B58" s="50" t="s">
        <v>741</v>
      </c>
      <c r="C58" s="51" t="s">
        <v>36</v>
      </c>
      <c r="D58" s="40" t="s">
        <v>8</v>
      </c>
      <c r="E58" s="42"/>
      <c r="F58" s="89">
        <v>36</v>
      </c>
      <c r="G58" s="87"/>
      <c r="H58" s="95"/>
      <c r="I58" s="110">
        <v>36</v>
      </c>
      <c r="J58" s="33"/>
      <c r="K58">
        <v>35</v>
      </c>
      <c r="L58" s="50">
        <v>23</v>
      </c>
      <c r="M58" s="6">
        <v>0.62152777777777779</v>
      </c>
      <c r="P58" s="50"/>
      <c r="Q58" s="50">
        <f t="shared" si="1"/>
        <v>95</v>
      </c>
    </row>
    <row r="59" spans="1:17" s="14" customFormat="1">
      <c r="A59" s="50" t="s">
        <v>309</v>
      </c>
      <c r="B59" s="50" t="s">
        <v>310</v>
      </c>
      <c r="C59" s="51" t="s">
        <v>214</v>
      </c>
      <c r="D59" s="47" t="s">
        <v>8</v>
      </c>
      <c r="E59" s="42">
        <v>61</v>
      </c>
      <c r="F59" s="89">
        <v>34</v>
      </c>
      <c r="G59" s="86">
        <v>0.6333333333333333</v>
      </c>
      <c r="H59" s="95">
        <v>65</v>
      </c>
      <c r="I59" s="110">
        <v>34</v>
      </c>
      <c r="J59" s="33">
        <v>0.57500000000000007</v>
      </c>
      <c r="K59" s="50"/>
      <c r="L59" s="50">
        <v>27</v>
      </c>
      <c r="M59" s="50"/>
      <c r="N59"/>
      <c r="O59"/>
      <c r="P59"/>
      <c r="Q59" s="50">
        <f t="shared" si="1"/>
        <v>95</v>
      </c>
    </row>
    <row r="60" spans="1:17">
      <c r="A60" s="50" t="s">
        <v>124</v>
      </c>
      <c r="B60" s="50" t="s">
        <v>364</v>
      </c>
      <c r="C60" s="39" t="s">
        <v>11</v>
      </c>
      <c r="D60" s="47" t="s">
        <v>8</v>
      </c>
      <c r="E60" s="42">
        <v>54</v>
      </c>
      <c r="F60" s="89">
        <v>32</v>
      </c>
      <c r="G60" s="86">
        <v>0.60763888888888895</v>
      </c>
      <c r="H60" s="95"/>
      <c r="I60" s="110">
        <v>36</v>
      </c>
      <c r="J60" s="94"/>
      <c r="K60" s="50"/>
      <c r="L60" s="50">
        <v>27</v>
      </c>
      <c r="M60" s="50"/>
      <c r="P60" s="50"/>
      <c r="Q60" s="50">
        <f t="shared" si="1"/>
        <v>95</v>
      </c>
    </row>
    <row r="61" spans="1:17">
      <c r="A61" t="s">
        <v>572</v>
      </c>
      <c r="B61" t="s">
        <v>573</v>
      </c>
      <c r="C61" s="51" t="s">
        <v>40</v>
      </c>
      <c r="D61" s="47" t="s">
        <v>8</v>
      </c>
      <c r="E61" s="42"/>
      <c r="F61" s="89">
        <v>36</v>
      </c>
      <c r="G61" s="86"/>
      <c r="H61" s="95">
        <v>64</v>
      </c>
      <c r="I61" s="110">
        <v>33</v>
      </c>
      <c r="J61" s="33">
        <v>0.57361111111111118</v>
      </c>
      <c r="L61" s="50">
        <v>27</v>
      </c>
      <c r="M61" s="6"/>
      <c r="P61" s="6"/>
      <c r="Q61" s="50">
        <f t="shared" si="1"/>
        <v>96</v>
      </c>
    </row>
    <row r="62" spans="1:17" s="15" customFormat="1">
      <c r="A62" s="50" t="s">
        <v>314</v>
      </c>
      <c r="B62" s="50" t="s">
        <v>315</v>
      </c>
      <c r="C62" s="51" t="s">
        <v>40</v>
      </c>
      <c r="D62" s="47" t="s">
        <v>8</v>
      </c>
      <c r="E62" s="42">
        <v>60</v>
      </c>
      <c r="F62" s="89">
        <v>33</v>
      </c>
      <c r="G62" s="86">
        <v>0.62986111111111109</v>
      </c>
      <c r="H62" s="95"/>
      <c r="I62" s="110">
        <v>36</v>
      </c>
      <c r="J62" s="94"/>
      <c r="K62"/>
      <c r="L62" s="50">
        <v>27</v>
      </c>
      <c r="M62" s="50"/>
      <c r="N62"/>
      <c r="O62"/>
      <c r="P62" s="50"/>
      <c r="Q62" s="50">
        <f t="shared" si="1"/>
        <v>96</v>
      </c>
    </row>
    <row r="63" spans="1:17" s="16" customFormat="1">
      <c r="A63" s="50" t="s">
        <v>53</v>
      </c>
      <c r="B63" s="50" t="s">
        <v>576</v>
      </c>
      <c r="C63" s="39" t="s">
        <v>207</v>
      </c>
      <c r="D63" s="47" t="s">
        <v>8</v>
      </c>
      <c r="E63" s="42"/>
      <c r="F63" s="89">
        <v>36</v>
      </c>
      <c r="G63" s="87"/>
      <c r="H63" s="95">
        <v>73</v>
      </c>
      <c r="I63" s="110">
        <v>35</v>
      </c>
      <c r="J63" s="33">
        <v>0.67361111111111116</v>
      </c>
      <c r="K63">
        <v>42</v>
      </c>
      <c r="L63" s="50">
        <v>26</v>
      </c>
      <c r="M63" s="6">
        <v>0.67499999999999993</v>
      </c>
      <c r="N63"/>
      <c r="O63"/>
      <c r="P63"/>
      <c r="Q63" s="50">
        <f t="shared" si="1"/>
        <v>97</v>
      </c>
    </row>
    <row r="64" spans="1:17" s="34" customFormat="1">
      <c r="A64" s="125" t="s">
        <v>333</v>
      </c>
      <c r="B64" s="125" t="s">
        <v>334</v>
      </c>
      <c r="C64" s="145" t="s">
        <v>23</v>
      </c>
      <c r="D64" s="126" t="s">
        <v>10</v>
      </c>
      <c r="E64" s="146">
        <v>12</v>
      </c>
      <c r="F64" s="127">
        <v>1</v>
      </c>
      <c r="G64" s="147">
        <v>0.51666666666666672</v>
      </c>
      <c r="H64" s="148">
        <v>11</v>
      </c>
      <c r="I64" s="126">
        <v>1</v>
      </c>
      <c r="J64" s="130">
        <v>0.45416666666666666</v>
      </c>
      <c r="K64" s="125">
        <v>10</v>
      </c>
      <c r="L64" s="125">
        <v>1</v>
      </c>
      <c r="M64" s="128">
        <v>0.52500000000000002</v>
      </c>
      <c r="N64" s="125"/>
      <c r="O64" s="125"/>
      <c r="P64" s="125"/>
      <c r="Q64" s="125">
        <f t="shared" si="1"/>
        <v>3</v>
      </c>
    </row>
    <row r="65" spans="1:17" s="34" customFormat="1">
      <c r="A65" s="125" t="s">
        <v>365</v>
      </c>
      <c r="B65" s="125" t="s">
        <v>366</v>
      </c>
      <c r="C65" s="145" t="s">
        <v>11</v>
      </c>
      <c r="D65" s="126" t="s">
        <v>10</v>
      </c>
      <c r="E65" s="146">
        <v>29</v>
      </c>
      <c r="F65" s="127">
        <v>7</v>
      </c>
      <c r="G65" s="147">
        <v>0.55625000000000002</v>
      </c>
      <c r="H65" s="148">
        <v>22</v>
      </c>
      <c r="I65" s="126">
        <v>6</v>
      </c>
      <c r="J65" s="130">
        <v>0.48194444444444445</v>
      </c>
      <c r="K65" s="125">
        <v>19</v>
      </c>
      <c r="L65" s="125">
        <v>6</v>
      </c>
      <c r="M65" s="128">
        <v>0.55625000000000002</v>
      </c>
      <c r="N65" s="125"/>
      <c r="O65" s="125"/>
      <c r="P65" s="125"/>
      <c r="Q65" s="125">
        <f>F65+I65+L65+O65</f>
        <v>19</v>
      </c>
    </row>
    <row r="66" spans="1:17" s="16" customFormat="1">
      <c r="A66" s="125" t="s">
        <v>122</v>
      </c>
      <c r="B66" s="125" t="s">
        <v>197</v>
      </c>
      <c r="C66" s="145" t="s">
        <v>23</v>
      </c>
      <c r="D66" s="126" t="s">
        <v>10</v>
      </c>
      <c r="E66" s="146">
        <v>35</v>
      </c>
      <c r="F66" s="127">
        <v>8</v>
      </c>
      <c r="G66" s="147">
        <v>0.56388888888888888</v>
      </c>
      <c r="H66" s="148">
        <v>28</v>
      </c>
      <c r="I66" s="160">
        <v>9</v>
      </c>
      <c r="J66" s="130">
        <v>0.48749999999999999</v>
      </c>
      <c r="K66" s="125">
        <v>25</v>
      </c>
      <c r="L66" s="125">
        <v>8</v>
      </c>
      <c r="M66" s="128">
        <v>0.56874999999999998</v>
      </c>
      <c r="N66" s="125"/>
      <c r="O66" s="125"/>
      <c r="P66" s="125"/>
      <c r="Q66" s="125">
        <f t="shared" si="1"/>
        <v>25</v>
      </c>
    </row>
    <row r="67" spans="1:17">
      <c r="A67" s="59" t="s">
        <v>229</v>
      </c>
      <c r="B67" s="59" t="s">
        <v>340</v>
      </c>
      <c r="C67" s="59" t="s">
        <v>163</v>
      </c>
      <c r="D67" s="110" t="s">
        <v>10</v>
      </c>
      <c r="E67" s="115">
        <v>55</v>
      </c>
      <c r="F67" s="89">
        <v>16</v>
      </c>
      <c r="G67" s="116">
        <v>0.61249999999999993</v>
      </c>
      <c r="H67" s="117">
        <v>37</v>
      </c>
      <c r="I67" s="110">
        <v>14</v>
      </c>
      <c r="J67" s="118">
        <v>0.5</v>
      </c>
      <c r="K67" s="59">
        <v>23</v>
      </c>
      <c r="L67" s="59">
        <v>7</v>
      </c>
      <c r="M67" s="119">
        <v>0.56388888888888888</v>
      </c>
      <c r="P67" s="50"/>
      <c r="Q67" s="50">
        <f t="shared" si="1"/>
        <v>37</v>
      </c>
    </row>
    <row r="68" spans="1:17" s="34" customFormat="1">
      <c r="A68" s="122" t="s">
        <v>130</v>
      </c>
      <c r="B68" s="122" t="s">
        <v>131</v>
      </c>
      <c r="C68" s="122" t="s">
        <v>23</v>
      </c>
      <c r="D68" s="110" t="s">
        <v>10</v>
      </c>
      <c r="E68" s="115">
        <v>39</v>
      </c>
      <c r="F68" s="89">
        <v>10</v>
      </c>
      <c r="G68" s="116">
        <v>0.57500000000000007</v>
      </c>
      <c r="H68" s="117">
        <v>46</v>
      </c>
      <c r="I68" s="111">
        <v>19</v>
      </c>
      <c r="J68" s="118">
        <v>0.5083333333333333</v>
      </c>
      <c r="K68" s="59">
        <v>29</v>
      </c>
      <c r="L68" s="59">
        <v>11</v>
      </c>
      <c r="M68" s="119">
        <v>0.58750000000000002</v>
      </c>
      <c r="N68"/>
      <c r="O68"/>
      <c r="P68" s="50"/>
      <c r="Q68" s="50">
        <f t="shared" si="1"/>
        <v>40</v>
      </c>
    </row>
    <row r="69" spans="1:17" s="50" customFormat="1">
      <c r="A69" s="59" t="s">
        <v>63</v>
      </c>
      <c r="B69" s="59" t="s">
        <v>80</v>
      </c>
      <c r="C69" s="120" t="s">
        <v>78</v>
      </c>
      <c r="D69" s="110" t="s">
        <v>10</v>
      </c>
      <c r="E69" s="115">
        <v>52</v>
      </c>
      <c r="F69" s="89">
        <v>14</v>
      </c>
      <c r="G69" s="116">
        <v>0.60555555555555551</v>
      </c>
      <c r="H69" s="117">
        <v>42</v>
      </c>
      <c r="I69" s="111">
        <v>17</v>
      </c>
      <c r="J69" s="118">
        <v>0.50416666666666665</v>
      </c>
      <c r="K69" s="59">
        <v>31</v>
      </c>
      <c r="L69" s="59">
        <v>12</v>
      </c>
      <c r="M69" s="119">
        <v>0.59583333333333333</v>
      </c>
      <c r="Q69" s="50">
        <f t="shared" ref="Q69:Q85" si="2">F69+I69+L69+O69</f>
        <v>43</v>
      </c>
    </row>
    <row r="70" spans="1:17" s="50" customFormat="1">
      <c r="A70" s="59" t="s">
        <v>304</v>
      </c>
      <c r="B70" s="59" t="s">
        <v>305</v>
      </c>
      <c r="C70" s="59" t="s">
        <v>9</v>
      </c>
      <c r="D70" s="110" t="s">
        <v>10</v>
      </c>
      <c r="E70" s="115">
        <v>51</v>
      </c>
      <c r="F70" s="89">
        <v>13</v>
      </c>
      <c r="G70" s="116">
        <v>0.6020833333333333</v>
      </c>
      <c r="H70" s="117">
        <v>58</v>
      </c>
      <c r="I70" s="110">
        <v>25</v>
      </c>
      <c r="J70" s="118">
        <v>0.54166666666666663</v>
      </c>
      <c r="K70" s="59">
        <v>39</v>
      </c>
      <c r="L70" s="59">
        <v>14</v>
      </c>
      <c r="M70" s="119">
        <v>0.62708333333333333</v>
      </c>
      <c r="Q70" s="50">
        <f t="shared" si="2"/>
        <v>52</v>
      </c>
    </row>
    <row r="71" spans="1:17" s="34" customFormat="1">
      <c r="A71" s="59" t="s">
        <v>341</v>
      </c>
      <c r="B71" s="59" t="s">
        <v>342</v>
      </c>
      <c r="C71" s="59" t="s">
        <v>163</v>
      </c>
      <c r="D71" s="110" t="s">
        <v>10</v>
      </c>
      <c r="E71" s="115">
        <v>75</v>
      </c>
      <c r="F71" s="89">
        <v>27</v>
      </c>
      <c r="G71" s="116">
        <v>0.6972222222222223</v>
      </c>
      <c r="H71" s="117">
        <v>32</v>
      </c>
      <c r="I71" s="110">
        <v>10</v>
      </c>
      <c r="J71" s="118">
        <v>0.49027777777777781</v>
      </c>
      <c r="K71" s="59">
        <v>46</v>
      </c>
      <c r="L71" s="59">
        <v>20</v>
      </c>
      <c r="M71" s="119">
        <v>0.7055555555555556</v>
      </c>
      <c r="N71"/>
      <c r="O71"/>
      <c r="P71" s="50"/>
      <c r="Q71" s="50">
        <f t="shared" si="2"/>
        <v>57</v>
      </c>
    </row>
    <row r="72" spans="1:17" s="50" customFormat="1">
      <c r="A72" s="59" t="s">
        <v>602</v>
      </c>
      <c r="B72" s="59" t="s">
        <v>33</v>
      </c>
      <c r="C72" s="114" t="s">
        <v>11</v>
      </c>
      <c r="D72" s="110" t="s">
        <v>10</v>
      </c>
      <c r="E72" s="115"/>
      <c r="F72" s="108">
        <v>30</v>
      </c>
      <c r="G72" s="116"/>
      <c r="H72" s="117">
        <v>48</v>
      </c>
      <c r="I72" s="111">
        <v>21</v>
      </c>
      <c r="J72" s="118">
        <v>0.50972222222222219</v>
      </c>
      <c r="K72" s="59">
        <v>26</v>
      </c>
      <c r="L72" s="59">
        <v>9</v>
      </c>
      <c r="M72" s="119">
        <v>0.57986111111111105</v>
      </c>
      <c r="Q72" s="50">
        <f t="shared" si="2"/>
        <v>60</v>
      </c>
    </row>
    <row r="73" spans="1:17" s="34" customFormat="1">
      <c r="A73" s="59" t="s">
        <v>354</v>
      </c>
      <c r="B73" s="59" t="s">
        <v>355</v>
      </c>
      <c r="C73" s="114" t="s">
        <v>11</v>
      </c>
      <c r="D73" s="110" t="s">
        <v>10</v>
      </c>
      <c r="E73" s="115">
        <v>58</v>
      </c>
      <c r="F73" s="89">
        <v>19</v>
      </c>
      <c r="G73" s="116">
        <v>0.62638888888888888</v>
      </c>
      <c r="H73" s="117">
        <v>62</v>
      </c>
      <c r="I73" s="110">
        <v>29</v>
      </c>
      <c r="J73" s="118">
        <v>0.56458333333333333</v>
      </c>
      <c r="K73" s="59">
        <v>40</v>
      </c>
      <c r="L73" s="59">
        <v>15</v>
      </c>
      <c r="M73" s="119">
        <v>0.63402777777777775</v>
      </c>
      <c r="N73"/>
      <c r="O73"/>
      <c r="P73" s="50"/>
      <c r="Q73" s="50">
        <f t="shared" si="2"/>
        <v>63</v>
      </c>
    </row>
    <row r="74" spans="1:17">
      <c r="A74" s="59" t="s">
        <v>130</v>
      </c>
      <c r="B74" s="59" t="s">
        <v>371</v>
      </c>
      <c r="C74" s="114" t="s">
        <v>11</v>
      </c>
      <c r="D74" s="110" t="s">
        <v>10</v>
      </c>
      <c r="E74" s="115">
        <v>63</v>
      </c>
      <c r="F74" s="89">
        <v>20</v>
      </c>
      <c r="G74" s="116">
        <v>0.63888888888888895</v>
      </c>
      <c r="H74" s="117">
        <v>61</v>
      </c>
      <c r="I74" s="111">
        <v>28</v>
      </c>
      <c r="J74" s="118">
        <v>0.55902777777777779</v>
      </c>
      <c r="K74" s="59">
        <v>41</v>
      </c>
      <c r="L74" s="59">
        <v>16</v>
      </c>
      <c r="M74" s="119">
        <v>0.64513888888888882</v>
      </c>
      <c r="Q74" s="50">
        <f t="shared" si="2"/>
        <v>64</v>
      </c>
    </row>
    <row r="75" spans="1:17" s="17" customFormat="1">
      <c r="A75" s="59" t="s">
        <v>341</v>
      </c>
      <c r="B75" s="59" t="s">
        <v>722</v>
      </c>
      <c r="C75" s="114" t="s">
        <v>11</v>
      </c>
      <c r="D75" s="110" t="s">
        <v>10</v>
      </c>
      <c r="E75" s="115"/>
      <c r="F75" s="108">
        <v>30</v>
      </c>
      <c r="G75" s="116"/>
      <c r="H75" s="117"/>
      <c r="I75" s="110">
        <v>39</v>
      </c>
      <c r="J75" s="118"/>
      <c r="K75" s="59">
        <v>13</v>
      </c>
      <c r="L75" s="59">
        <v>2</v>
      </c>
      <c r="M75" s="119">
        <v>0.53611111111111109</v>
      </c>
      <c r="N75"/>
      <c r="O75"/>
      <c r="P75" s="50"/>
      <c r="Q75" s="50">
        <f t="shared" si="2"/>
        <v>71</v>
      </c>
    </row>
    <row r="76" spans="1:17" s="50" customFormat="1">
      <c r="A76" s="59" t="s">
        <v>60</v>
      </c>
      <c r="B76" s="59" t="s">
        <v>317</v>
      </c>
      <c r="C76" s="59" t="s">
        <v>15</v>
      </c>
      <c r="D76" s="110" t="s">
        <v>10</v>
      </c>
      <c r="E76" s="115"/>
      <c r="F76" s="108">
        <v>30</v>
      </c>
      <c r="G76" s="116"/>
      <c r="H76" s="117"/>
      <c r="I76" s="110">
        <v>39</v>
      </c>
      <c r="J76" s="118"/>
      <c r="K76" s="59">
        <v>14</v>
      </c>
      <c r="L76" s="59">
        <v>3</v>
      </c>
      <c r="M76" s="119">
        <v>0.53819444444444442</v>
      </c>
      <c r="Q76" s="50">
        <f t="shared" si="2"/>
        <v>72</v>
      </c>
    </row>
    <row r="77" spans="1:17">
      <c r="A77" s="59" t="s">
        <v>185</v>
      </c>
      <c r="B77" s="59" t="s">
        <v>723</v>
      </c>
      <c r="C77" s="114" t="s">
        <v>11</v>
      </c>
      <c r="D77" s="110" t="s">
        <v>10</v>
      </c>
      <c r="E77" s="115"/>
      <c r="F77" s="108">
        <v>30</v>
      </c>
      <c r="G77" s="116"/>
      <c r="H77" s="117"/>
      <c r="I77" s="110">
        <v>39</v>
      </c>
      <c r="J77" s="118"/>
      <c r="K77" s="59">
        <v>16</v>
      </c>
      <c r="L77" s="59">
        <v>4</v>
      </c>
      <c r="M77" s="119">
        <v>0.54166666666666663</v>
      </c>
      <c r="P77" s="50"/>
      <c r="Q77" s="50">
        <f t="shared" si="2"/>
        <v>73</v>
      </c>
    </row>
    <row r="78" spans="1:17">
      <c r="A78" s="59" t="s">
        <v>298</v>
      </c>
      <c r="B78" s="59" t="s">
        <v>727</v>
      </c>
      <c r="C78" s="120" t="s">
        <v>78</v>
      </c>
      <c r="D78" s="110" t="s">
        <v>10</v>
      </c>
      <c r="E78" s="115"/>
      <c r="F78" s="108">
        <v>30</v>
      </c>
      <c r="G78" s="116"/>
      <c r="H78" s="121"/>
      <c r="I78" s="110">
        <v>39</v>
      </c>
      <c r="J78" s="118"/>
      <c r="K78" s="59">
        <v>18</v>
      </c>
      <c r="L78" s="59">
        <v>5</v>
      </c>
      <c r="M78" s="119">
        <v>0.54861111111111105</v>
      </c>
      <c r="P78" s="6"/>
      <c r="Q78" s="50">
        <f t="shared" si="2"/>
        <v>74</v>
      </c>
    </row>
    <row r="79" spans="1:17">
      <c r="A79" s="59" t="s">
        <v>728</v>
      </c>
      <c r="B79" s="59" t="s">
        <v>729</v>
      </c>
      <c r="C79" s="120" t="s">
        <v>78</v>
      </c>
      <c r="D79" s="110" t="s">
        <v>10</v>
      </c>
      <c r="E79" s="115"/>
      <c r="F79" s="108">
        <v>30</v>
      </c>
      <c r="G79" s="116"/>
      <c r="H79" s="121"/>
      <c r="I79" s="110">
        <v>39</v>
      </c>
      <c r="J79" s="118"/>
      <c r="K79" s="59">
        <v>27</v>
      </c>
      <c r="L79" s="59">
        <v>10</v>
      </c>
      <c r="M79" s="119">
        <v>0.58124999999999993</v>
      </c>
      <c r="P79" s="6"/>
      <c r="Q79" s="50">
        <f t="shared" si="2"/>
        <v>79</v>
      </c>
    </row>
    <row r="80" spans="1:17">
      <c r="A80" s="59" t="s">
        <v>343</v>
      </c>
      <c r="B80" s="59" t="s">
        <v>344</v>
      </c>
      <c r="C80" s="59" t="s">
        <v>163</v>
      </c>
      <c r="D80" s="110" t="s">
        <v>10</v>
      </c>
      <c r="E80" s="115">
        <v>74</v>
      </c>
      <c r="F80" s="89">
        <v>26</v>
      </c>
      <c r="G80" s="116">
        <v>0.6972222222222223</v>
      </c>
      <c r="H80" s="117">
        <v>70</v>
      </c>
      <c r="I80" s="110">
        <v>35</v>
      </c>
      <c r="J80" s="118">
        <v>0.60138888888888886</v>
      </c>
      <c r="K80" s="59">
        <v>45</v>
      </c>
      <c r="L80" s="59">
        <v>19</v>
      </c>
      <c r="M80" s="119">
        <v>0.7055555555555556</v>
      </c>
      <c r="P80" s="50"/>
      <c r="Q80" s="50">
        <f t="shared" si="2"/>
        <v>80</v>
      </c>
    </row>
    <row r="81" spans="1:17">
      <c r="A81" s="59" t="s">
        <v>20</v>
      </c>
      <c r="B81" s="59" t="s">
        <v>733</v>
      </c>
      <c r="C81" s="59" t="s">
        <v>15</v>
      </c>
      <c r="D81" s="110" t="s">
        <v>10</v>
      </c>
      <c r="E81" s="115"/>
      <c r="F81" s="108">
        <v>30</v>
      </c>
      <c r="G81" s="116"/>
      <c r="H81" s="117"/>
      <c r="I81" s="110">
        <v>39</v>
      </c>
      <c r="J81" s="118"/>
      <c r="K81" s="59">
        <v>37</v>
      </c>
      <c r="L81" s="59">
        <v>13</v>
      </c>
      <c r="M81" s="119">
        <v>0.62361111111111112</v>
      </c>
      <c r="P81" s="50"/>
      <c r="Q81" s="50">
        <f t="shared" si="2"/>
        <v>82</v>
      </c>
    </row>
    <row r="82" spans="1:17" s="18" customFormat="1">
      <c r="A82" s="59" t="s">
        <v>239</v>
      </c>
      <c r="B82" s="59" t="s">
        <v>296</v>
      </c>
      <c r="C82" s="59" t="s">
        <v>36</v>
      </c>
      <c r="D82" s="110" t="s">
        <v>10</v>
      </c>
      <c r="E82" s="115">
        <v>70</v>
      </c>
      <c r="F82" s="89">
        <v>24</v>
      </c>
      <c r="G82" s="116">
        <v>0.68888888888888899</v>
      </c>
      <c r="H82" s="117">
        <v>71</v>
      </c>
      <c r="I82" s="111">
        <v>36</v>
      </c>
      <c r="J82" s="118">
        <v>0.61388888888888882</v>
      </c>
      <c r="K82" s="59">
        <v>48</v>
      </c>
      <c r="L82" s="59">
        <v>22</v>
      </c>
      <c r="M82" s="119">
        <v>0.72291666666666676</v>
      </c>
      <c r="N82"/>
      <c r="O82"/>
      <c r="P82" s="6"/>
      <c r="Q82" s="50">
        <f t="shared" si="2"/>
        <v>82</v>
      </c>
    </row>
    <row r="83" spans="1:17" s="18" customFormat="1">
      <c r="A83" s="59" t="s">
        <v>731</v>
      </c>
      <c r="B83" s="59" t="s">
        <v>732</v>
      </c>
      <c r="C83" s="59" t="s">
        <v>40</v>
      </c>
      <c r="D83" s="110" t="s">
        <v>10</v>
      </c>
      <c r="E83" s="115"/>
      <c r="F83" s="108">
        <v>30</v>
      </c>
      <c r="G83" s="116"/>
      <c r="H83" s="117"/>
      <c r="I83" s="110">
        <v>39</v>
      </c>
      <c r="J83" s="118"/>
      <c r="K83" s="59">
        <v>43</v>
      </c>
      <c r="L83" s="59">
        <v>17</v>
      </c>
      <c r="M83" s="119">
        <v>0.67986111111111114</v>
      </c>
      <c r="N83"/>
      <c r="O83"/>
      <c r="P83" s="50"/>
      <c r="Q83" s="50">
        <f t="shared" si="2"/>
        <v>86</v>
      </c>
    </row>
    <row r="84" spans="1:17" s="50" customFormat="1">
      <c r="A84" s="59" t="s">
        <v>734</v>
      </c>
      <c r="B84" s="59" t="s">
        <v>735</v>
      </c>
      <c r="C84" s="114" t="s">
        <v>207</v>
      </c>
      <c r="D84" s="110" t="s">
        <v>10</v>
      </c>
      <c r="E84" s="115"/>
      <c r="F84" s="108">
        <v>30</v>
      </c>
      <c r="G84" s="116"/>
      <c r="H84" s="117"/>
      <c r="I84" s="110">
        <v>39</v>
      </c>
      <c r="J84" s="118"/>
      <c r="K84" s="59">
        <v>44</v>
      </c>
      <c r="L84" s="59">
        <v>17</v>
      </c>
      <c r="M84" s="119">
        <v>0.68194444444444446</v>
      </c>
      <c r="Q84" s="50">
        <f t="shared" si="2"/>
        <v>86</v>
      </c>
    </row>
    <row r="85" spans="1:17" s="50" customFormat="1">
      <c r="A85" s="59" t="s">
        <v>372</v>
      </c>
      <c r="B85" s="59" t="s">
        <v>373</v>
      </c>
      <c r="C85" s="114" t="s">
        <v>11</v>
      </c>
      <c r="D85" s="110" t="s">
        <v>10</v>
      </c>
      <c r="E85" s="115"/>
      <c r="F85" s="108">
        <v>30</v>
      </c>
      <c r="G85" s="116"/>
      <c r="H85" s="117"/>
      <c r="I85" s="110">
        <v>39</v>
      </c>
      <c r="J85" s="118"/>
      <c r="K85" s="59">
        <v>47</v>
      </c>
      <c r="L85" s="59">
        <v>21</v>
      </c>
      <c r="M85" s="119">
        <v>0.72222222222222221</v>
      </c>
      <c r="Q85" s="50">
        <f t="shared" si="2"/>
        <v>90</v>
      </c>
    </row>
    <row r="86" spans="1:17" s="18" customFormat="1" hidden="1">
      <c r="A86" s="50" t="s">
        <v>341</v>
      </c>
      <c r="B86" s="50" t="s">
        <v>59</v>
      </c>
      <c r="C86" s="39" t="s">
        <v>11</v>
      </c>
      <c r="D86" s="47" t="s">
        <v>10</v>
      </c>
      <c r="E86" s="42">
        <v>14</v>
      </c>
      <c r="F86" s="89">
        <v>2</v>
      </c>
      <c r="G86" s="86">
        <v>0.52777777777777779</v>
      </c>
      <c r="H86" s="95">
        <v>13</v>
      </c>
      <c r="I86" s="110">
        <v>2</v>
      </c>
      <c r="J86" s="33">
        <v>0.45902777777777781</v>
      </c>
      <c r="K86"/>
      <c r="L86" s="50">
        <v>23</v>
      </c>
      <c r="M86" s="50"/>
      <c r="N86"/>
      <c r="O86"/>
      <c r="P86" s="50"/>
      <c r="Q86" s="50">
        <f t="shared" ref="Q86:Q108" si="3">F86+I86+L86+O86</f>
        <v>27</v>
      </c>
    </row>
    <row r="87" spans="1:17" ht="12" hidden="1" customHeight="1">
      <c r="A87" s="50" t="s">
        <v>587</v>
      </c>
      <c r="B87" s="50" t="s">
        <v>588</v>
      </c>
      <c r="C87" s="55" t="s">
        <v>78</v>
      </c>
      <c r="D87" s="47" t="s">
        <v>10</v>
      </c>
      <c r="E87" s="42"/>
      <c r="F87" s="108">
        <v>30</v>
      </c>
      <c r="G87" s="86"/>
      <c r="H87" s="32">
        <v>16</v>
      </c>
      <c r="I87" s="111">
        <v>3</v>
      </c>
      <c r="J87" s="33">
        <v>0.47083333333333338</v>
      </c>
      <c r="L87" s="50">
        <v>23</v>
      </c>
      <c r="M87" s="6"/>
      <c r="P87" s="6"/>
      <c r="Q87" s="50">
        <f t="shared" si="3"/>
        <v>56</v>
      </c>
    </row>
    <row r="88" spans="1:17" s="50" customFormat="1" hidden="1">
      <c r="A88" s="50" t="s">
        <v>294</v>
      </c>
      <c r="B88" s="50" t="s">
        <v>595</v>
      </c>
      <c r="C88" s="39" t="s">
        <v>325</v>
      </c>
      <c r="D88" s="47" t="s">
        <v>10</v>
      </c>
      <c r="E88" s="42"/>
      <c r="F88" s="108">
        <v>30</v>
      </c>
      <c r="G88" s="86"/>
      <c r="H88" s="95">
        <v>17</v>
      </c>
      <c r="I88" s="110">
        <v>4</v>
      </c>
      <c r="J88" s="33">
        <v>0.47222222222222227</v>
      </c>
      <c r="L88" s="50">
        <v>23</v>
      </c>
      <c r="Q88" s="50">
        <f t="shared" si="3"/>
        <v>57</v>
      </c>
    </row>
    <row r="89" spans="1:17" s="50" customFormat="1" hidden="1">
      <c r="A89" s="50" t="s">
        <v>589</v>
      </c>
      <c r="B89" s="50" t="s">
        <v>590</v>
      </c>
      <c r="C89" s="55" t="s">
        <v>78</v>
      </c>
      <c r="D89" s="47" t="s">
        <v>10</v>
      </c>
      <c r="E89" s="42"/>
      <c r="F89" s="108">
        <v>30</v>
      </c>
      <c r="G89" s="86"/>
      <c r="H89" s="32">
        <v>18</v>
      </c>
      <c r="I89" s="111">
        <v>5</v>
      </c>
      <c r="J89" s="33">
        <v>0.47430555555555554</v>
      </c>
      <c r="L89" s="50">
        <v>23</v>
      </c>
      <c r="M89" s="6"/>
      <c r="Q89" s="50">
        <f t="shared" si="3"/>
        <v>58</v>
      </c>
    </row>
    <row r="90" spans="1:17" s="50" customFormat="1" hidden="1">
      <c r="A90" s="50" t="s">
        <v>360</v>
      </c>
      <c r="B90" s="50" t="s">
        <v>361</v>
      </c>
      <c r="C90" s="39" t="s">
        <v>11</v>
      </c>
      <c r="D90" s="47" t="s">
        <v>10</v>
      </c>
      <c r="E90" s="42">
        <v>34</v>
      </c>
      <c r="F90" s="89">
        <v>7</v>
      </c>
      <c r="G90" s="86">
        <v>0.56388888888888888</v>
      </c>
      <c r="H90" s="95">
        <v>26</v>
      </c>
      <c r="I90" s="111">
        <v>7</v>
      </c>
      <c r="J90" s="33">
        <v>0.48541666666666666</v>
      </c>
      <c r="L90" s="50">
        <v>23</v>
      </c>
      <c r="Q90" s="50">
        <f t="shared" si="3"/>
        <v>37</v>
      </c>
    </row>
    <row r="91" spans="1:17" s="50" customFormat="1" hidden="1">
      <c r="A91" s="50" t="s">
        <v>343</v>
      </c>
      <c r="B91" s="50" t="s">
        <v>85</v>
      </c>
      <c r="C91" s="39" t="s">
        <v>11</v>
      </c>
      <c r="D91" s="47" t="s">
        <v>10</v>
      </c>
      <c r="E91" s="42">
        <v>33</v>
      </c>
      <c r="F91" s="89">
        <v>6</v>
      </c>
      <c r="G91" s="86">
        <v>0.55833333333333335</v>
      </c>
      <c r="H91" s="95">
        <v>27</v>
      </c>
      <c r="I91" s="110">
        <v>8</v>
      </c>
      <c r="J91" s="33">
        <v>0.4861111111111111</v>
      </c>
      <c r="L91" s="50">
        <v>23</v>
      </c>
      <c r="Q91" s="50">
        <f t="shared" si="3"/>
        <v>37</v>
      </c>
    </row>
    <row r="92" spans="1:17" s="50" customFormat="1" hidden="1">
      <c r="A92" s="50" t="s">
        <v>345</v>
      </c>
      <c r="B92" s="50" t="s">
        <v>136</v>
      </c>
      <c r="C92" s="51" t="s">
        <v>163</v>
      </c>
      <c r="D92" s="47" t="s">
        <v>10</v>
      </c>
      <c r="E92" s="42">
        <v>36</v>
      </c>
      <c r="F92" s="89">
        <v>9</v>
      </c>
      <c r="G92" s="86">
        <v>0.56597222222222221</v>
      </c>
      <c r="H92" s="95">
        <v>33</v>
      </c>
      <c r="I92" s="111">
        <v>11</v>
      </c>
      <c r="J92" s="33">
        <v>0.4916666666666667</v>
      </c>
      <c r="L92" s="50">
        <v>23</v>
      </c>
      <c r="Q92" s="50">
        <f t="shared" si="3"/>
        <v>43</v>
      </c>
    </row>
    <row r="93" spans="1:17" s="50" customFormat="1" hidden="1">
      <c r="A93" s="50" t="s">
        <v>356</v>
      </c>
      <c r="B93" s="50" t="s">
        <v>357</v>
      </c>
      <c r="C93" s="39" t="s">
        <v>11</v>
      </c>
      <c r="D93" s="47" t="s">
        <v>10</v>
      </c>
      <c r="E93" s="42">
        <v>26</v>
      </c>
      <c r="F93" s="89">
        <v>3</v>
      </c>
      <c r="G93" s="86">
        <v>0.55138888888888882</v>
      </c>
      <c r="H93" s="95">
        <v>34</v>
      </c>
      <c r="I93" s="110">
        <v>12</v>
      </c>
      <c r="J93" s="33">
        <v>0.49583333333333335</v>
      </c>
      <c r="L93" s="50">
        <v>23</v>
      </c>
      <c r="Q93" s="50">
        <f t="shared" si="3"/>
        <v>38</v>
      </c>
    </row>
    <row r="94" spans="1:17" hidden="1">
      <c r="A94" s="50" t="s">
        <v>287</v>
      </c>
      <c r="B94" s="50" t="s">
        <v>288</v>
      </c>
      <c r="C94" s="51" t="s">
        <v>36</v>
      </c>
      <c r="D94" s="40" t="s">
        <v>10</v>
      </c>
      <c r="E94" s="51">
        <v>31</v>
      </c>
      <c r="F94" s="89">
        <v>5</v>
      </c>
      <c r="G94" s="86">
        <v>0.55763888888888891</v>
      </c>
      <c r="H94" s="95">
        <v>36</v>
      </c>
      <c r="I94" s="111">
        <v>13</v>
      </c>
      <c r="J94" s="33">
        <v>0.49861111111111112</v>
      </c>
      <c r="L94" s="50">
        <v>23</v>
      </c>
      <c r="M94" s="50"/>
      <c r="P94" s="50"/>
      <c r="Q94" s="50">
        <f t="shared" si="3"/>
        <v>41</v>
      </c>
    </row>
    <row r="95" spans="1:17" s="50" customFormat="1" hidden="1">
      <c r="A95" s="50" t="s">
        <v>596</v>
      </c>
      <c r="B95" s="50" t="s">
        <v>258</v>
      </c>
      <c r="C95" s="39" t="s">
        <v>325</v>
      </c>
      <c r="D95" s="47" t="s">
        <v>10</v>
      </c>
      <c r="E95" s="42"/>
      <c r="F95" s="108">
        <v>30</v>
      </c>
      <c r="G95" s="86"/>
      <c r="H95" s="95">
        <v>38</v>
      </c>
      <c r="I95" s="111">
        <v>15</v>
      </c>
      <c r="J95" s="33">
        <v>0.50069444444444444</v>
      </c>
      <c r="L95" s="50">
        <v>23</v>
      </c>
      <c r="Q95" s="50">
        <f t="shared" si="3"/>
        <v>68</v>
      </c>
    </row>
    <row r="96" spans="1:17" s="50" customFormat="1" hidden="1">
      <c r="A96" s="50" t="s">
        <v>581</v>
      </c>
      <c r="B96" s="50" t="s">
        <v>582</v>
      </c>
      <c r="C96" s="39" t="s">
        <v>174</v>
      </c>
      <c r="D96" s="47" t="s">
        <v>10</v>
      </c>
      <c r="E96" s="42"/>
      <c r="F96" s="108">
        <v>30</v>
      </c>
      <c r="G96" s="86"/>
      <c r="H96" s="95">
        <v>39</v>
      </c>
      <c r="I96" s="110">
        <v>16</v>
      </c>
      <c r="J96" s="33">
        <v>0.50208333333333333</v>
      </c>
      <c r="L96" s="50">
        <v>23</v>
      </c>
      <c r="Q96" s="50">
        <f t="shared" si="3"/>
        <v>69</v>
      </c>
    </row>
    <row r="97" spans="1:17" s="50" customFormat="1" hidden="1">
      <c r="A97" s="50" t="s">
        <v>578</v>
      </c>
      <c r="B97" s="50" t="s">
        <v>579</v>
      </c>
      <c r="C97" s="39" t="s">
        <v>214</v>
      </c>
      <c r="D97" s="47" t="s">
        <v>10</v>
      </c>
      <c r="E97" s="42"/>
      <c r="F97" s="108">
        <v>30</v>
      </c>
      <c r="G97" s="86"/>
      <c r="H97" s="95">
        <v>44</v>
      </c>
      <c r="I97" s="110">
        <v>18</v>
      </c>
      <c r="J97" s="33">
        <v>0.50555555555555554</v>
      </c>
      <c r="L97" s="50">
        <v>23</v>
      </c>
      <c r="Q97" s="50">
        <f t="shared" si="3"/>
        <v>71</v>
      </c>
    </row>
    <row r="98" spans="1:17" s="19" customFormat="1" hidden="1">
      <c r="A98" t="s">
        <v>369</v>
      </c>
      <c r="B98" t="s">
        <v>370</v>
      </c>
      <c r="C98" s="39" t="s">
        <v>11</v>
      </c>
      <c r="D98" s="47" t="s">
        <v>10</v>
      </c>
      <c r="E98" s="42">
        <v>49</v>
      </c>
      <c r="F98" s="89">
        <v>12</v>
      </c>
      <c r="G98" s="86">
        <v>0.6020833333333333</v>
      </c>
      <c r="H98" s="95">
        <v>47</v>
      </c>
      <c r="I98" s="110">
        <v>20</v>
      </c>
      <c r="J98" s="33">
        <v>0.50902777777777775</v>
      </c>
      <c r="K98"/>
      <c r="L98" s="50">
        <v>23</v>
      </c>
      <c r="M98" s="50"/>
      <c r="N98"/>
      <c r="O98"/>
      <c r="P98" s="50"/>
      <c r="Q98" s="50">
        <f t="shared" si="3"/>
        <v>55</v>
      </c>
    </row>
    <row r="99" spans="1:17" s="19" customFormat="1" hidden="1">
      <c r="A99" t="s">
        <v>287</v>
      </c>
      <c r="B99" t="s">
        <v>69</v>
      </c>
      <c r="C99" s="51" t="s">
        <v>163</v>
      </c>
      <c r="D99" s="47" t="s">
        <v>10</v>
      </c>
      <c r="E99" s="42">
        <v>46</v>
      </c>
      <c r="F99" s="89">
        <v>11</v>
      </c>
      <c r="G99" s="86">
        <v>0.59861111111111109</v>
      </c>
      <c r="H99" s="95">
        <v>51</v>
      </c>
      <c r="I99" s="110">
        <v>22</v>
      </c>
      <c r="J99" s="33">
        <v>0.51458333333333328</v>
      </c>
      <c r="K99"/>
      <c r="L99" s="50">
        <v>23</v>
      </c>
      <c r="M99" s="50"/>
      <c r="N99"/>
      <c r="O99"/>
      <c r="P99"/>
      <c r="Q99" s="50">
        <f t="shared" si="3"/>
        <v>56</v>
      </c>
    </row>
    <row r="100" spans="1:17" hidden="1">
      <c r="A100" t="s">
        <v>119</v>
      </c>
      <c r="B100" t="s">
        <v>120</v>
      </c>
      <c r="C100" s="55" t="s">
        <v>78</v>
      </c>
      <c r="D100" s="47" t="s">
        <v>10</v>
      </c>
      <c r="E100" s="42">
        <v>53</v>
      </c>
      <c r="F100" s="89">
        <v>15</v>
      </c>
      <c r="G100" s="86">
        <v>0.6069444444444444</v>
      </c>
      <c r="H100" s="95">
        <v>52</v>
      </c>
      <c r="I100" s="111">
        <v>23</v>
      </c>
      <c r="J100" s="33">
        <v>0.51874999999999993</v>
      </c>
      <c r="L100" s="50">
        <v>23</v>
      </c>
      <c r="M100" s="50"/>
      <c r="Q100" s="50">
        <f t="shared" si="3"/>
        <v>61</v>
      </c>
    </row>
    <row r="101" spans="1:17" s="20" customFormat="1" hidden="1">
      <c r="A101" t="s">
        <v>312</v>
      </c>
      <c r="B101" t="s">
        <v>313</v>
      </c>
      <c r="C101" s="51" t="s">
        <v>40</v>
      </c>
      <c r="D101" s="47" t="s">
        <v>10</v>
      </c>
      <c r="E101" s="42">
        <v>56</v>
      </c>
      <c r="F101" s="89">
        <v>17</v>
      </c>
      <c r="G101" s="86">
        <v>0.61527777777777781</v>
      </c>
      <c r="H101" s="95">
        <v>56</v>
      </c>
      <c r="I101" s="111">
        <v>24</v>
      </c>
      <c r="J101" s="33">
        <v>0.53263888888888888</v>
      </c>
      <c r="K101"/>
      <c r="L101" s="50">
        <v>23</v>
      </c>
      <c r="M101" s="50"/>
      <c r="N101"/>
      <c r="O101"/>
      <c r="P101" s="50"/>
      <c r="Q101" s="50">
        <f t="shared" si="3"/>
        <v>64</v>
      </c>
    </row>
    <row r="102" spans="1:17" s="50" customFormat="1" hidden="1">
      <c r="A102" s="50" t="s">
        <v>352</v>
      </c>
      <c r="B102" s="50" t="s">
        <v>353</v>
      </c>
      <c r="C102" s="55" t="s">
        <v>78</v>
      </c>
      <c r="D102" s="47" t="s">
        <v>10</v>
      </c>
      <c r="E102" s="42">
        <v>64</v>
      </c>
      <c r="F102" s="89">
        <v>21</v>
      </c>
      <c r="G102" s="86">
        <v>0.63958333333333328</v>
      </c>
      <c r="H102" s="95">
        <v>59</v>
      </c>
      <c r="I102" s="111">
        <v>26</v>
      </c>
      <c r="J102" s="33">
        <v>0.54861111111111105</v>
      </c>
      <c r="L102" s="50">
        <v>23</v>
      </c>
      <c r="Q102" s="50">
        <f t="shared" si="3"/>
        <v>70</v>
      </c>
    </row>
    <row r="103" spans="1:17" s="21" customFormat="1" hidden="1">
      <c r="A103" t="s">
        <v>307</v>
      </c>
      <c r="B103" t="s">
        <v>329</v>
      </c>
      <c r="C103" s="39" t="s">
        <v>11</v>
      </c>
      <c r="D103" s="47" t="s">
        <v>10</v>
      </c>
      <c r="E103" s="42">
        <v>57</v>
      </c>
      <c r="F103" s="89">
        <v>18</v>
      </c>
      <c r="G103" s="86">
        <v>0.62569444444444444</v>
      </c>
      <c r="H103" s="95">
        <v>60</v>
      </c>
      <c r="I103" s="110">
        <v>27</v>
      </c>
      <c r="J103" s="33">
        <v>0.55347222222222225</v>
      </c>
      <c r="K103"/>
      <c r="L103" s="50">
        <v>23</v>
      </c>
      <c r="M103" s="50"/>
      <c r="N103"/>
      <c r="O103"/>
      <c r="P103"/>
      <c r="Q103" s="50">
        <f t="shared" si="3"/>
        <v>68</v>
      </c>
    </row>
    <row r="104" spans="1:17" hidden="1">
      <c r="A104" t="s">
        <v>593</v>
      </c>
      <c r="B104" t="s">
        <v>368</v>
      </c>
      <c r="C104" s="55" t="s">
        <v>78</v>
      </c>
      <c r="D104" s="47" t="s">
        <v>10</v>
      </c>
      <c r="E104" s="42"/>
      <c r="F104" s="108">
        <v>30</v>
      </c>
      <c r="G104" s="87"/>
      <c r="H104" s="32">
        <v>63</v>
      </c>
      <c r="I104" s="111">
        <v>30</v>
      </c>
      <c r="J104" s="33">
        <v>0.56805555555555554</v>
      </c>
      <c r="L104" s="50">
        <v>23</v>
      </c>
      <c r="M104" s="50"/>
      <c r="Q104" s="50">
        <f t="shared" si="3"/>
        <v>83</v>
      </c>
    </row>
    <row r="105" spans="1:17" s="34" customFormat="1" hidden="1">
      <c r="A105" t="s">
        <v>306</v>
      </c>
      <c r="B105" t="s">
        <v>216</v>
      </c>
      <c r="C105" s="51" t="s">
        <v>214</v>
      </c>
      <c r="D105" s="47" t="s">
        <v>10</v>
      </c>
      <c r="E105" s="42">
        <v>68</v>
      </c>
      <c r="F105" s="89">
        <v>23</v>
      </c>
      <c r="G105" s="86">
        <v>0.67847222222222225</v>
      </c>
      <c r="H105" s="95">
        <v>66</v>
      </c>
      <c r="I105" s="110">
        <v>31</v>
      </c>
      <c r="J105" s="33">
        <v>0.57638888888888895</v>
      </c>
      <c r="K105"/>
      <c r="L105" s="50">
        <v>23</v>
      </c>
      <c r="M105" s="50"/>
      <c r="N105"/>
      <c r="O105"/>
      <c r="P105" s="50"/>
      <c r="Q105" s="50">
        <f t="shared" si="3"/>
        <v>77</v>
      </c>
    </row>
    <row r="106" spans="1:17" hidden="1">
      <c r="A106" t="s">
        <v>326</v>
      </c>
      <c r="B106" t="s">
        <v>327</v>
      </c>
      <c r="C106" s="39" t="s">
        <v>174</v>
      </c>
      <c r="D106" s="47" t="s">
        <v>10</v>
      </c>
      <c r="E106" s="42">
        <v>73</v>
      </c>
      <c r="F106" s="89">
        <v>25</v>
      </c>
      <c r="G106" s="86">
        <v>0.69444444444444453</v>
      </c>
      <c r="H106" s="95">
        <v>67</v>
      </c>
      <c r="I106" s="111">
        <v>32</v>
      </c>
      <c r="J106" s="33">
        <v>0.58124999999999993</v>
      </c>
      <c r="L106" s="50">
        <v>23</v>
      </c>
      <c r="M106" s="50"/>
      <c r="P106" s="50"/>
      <c r="Q106" s="50">
        <f t="shared" si="3"/>
        <v>80</v>
      </c>
    </row>
    <row r="107" spans="1:17" hidden="1">
      <c r="A107" t="s">
        <v>580</v>
      </c>
      <c r="B107" t="s">
        <v>539</v>
      </c>
      <c r="C107" s="39" t="s">
        <v>214</v>
      </c>
      <c r="D107" s="47" t="s">
        <v>10</v>
      </c>
      <c r="E107" s="42"/>
      <c r="F107" s="108">
        <v>30</v>
      </c>
      <c r="G107" s="86"/>
      <c r="H107" s="95">
        <v>68</v>
      </c>
      <c r="I107" s="110">
        <v>33</v>
      </c>
      <c r="J107" s="33">
        <v>0.58333333333333337</v>
      </c>
      <c r="L107" s="50">
        <v>23</v>
      </c>
      <c r="M107" s="50"/>
      <c r="Q107" s="50">
        <f t="shared" si="3"/>
        <v>86</v>
      </c>
    </row>
    <row r="108" spans="1:17" s="50" customFormat="1" hidden="1">
      <c r="A108" s="50" t="s">
        <v>358</v>
      </c>
      <c r="B108" s="50" t="s">
        <v>359</v>
      </c>
      <c r="C108" s="39" t="s">
        <v>11</v>
      </c>
      <c r="D108" s="47" t="s">
        <v>10</v>
      </c>
      <c r="E108" s="42">
        <v>76</v>
      </c>
      <c r="F108" s="89">
        <v>28</v>
      </c>
      <c r="G108" s="86">
        <v>0.70347222222222217</v>
      </c>
      <c r="H108" s="95">
        <v>69</v>
      </c>
      <c r="I108" s="111">
        <v>34</v>
      </c>
      <c r="J108" s="33">
        <v>0.58402777777777781</v>
      </c>
      <c r="L108" s="50">
        <v>23</v>
      </c>
      <c r="Q108" s="50">
        <f t="shared" si="3"/>
        <v>85</v>
      </c>
    </row>
    <row r="109" spans="1:17" s="22" customFormat="1" hidden="1">
      <c r="A109" s="50" t="s">
        <v>96</v>
      </c>
      <c r="B109" s="50" t="s">
        <v>291</v>
      </c>
      <c r="C109" s="51" t="s">
        <v>36</v>
      </c>
      <c r="D109" s="47" t="s">
        <v>10</v>
      </c>
      <c r="E109" s="42">
        <v>66</v>
      </c>
      <c r="F109" s="89">
        <v>22</v>
      </c>
      <c r="G109" s="86">
        <v>0.65416666666666667</v>
      </c>
      <c r="H109" s="95">
        <v>72</v>
      </c>
      <c r="I109" s="110">
        <v>37</v>
      </c>
      <c r="J109" s="33">
        <v>0.63472222222222219</v>
      </c>
      <c r="K109"/>
      <c r="L109" s="50">
        <v>23</v>
      </c>
      <c r="M109" s="50"/>
      <c r="N109"/>
      <c r="O109"/>
      <c r="P109" s="6"/>
      <c r="Q109" s="50"/>
    </row>
    <row r="110" spans="1:17" s="50" customFormat="1" ht="14.25" hidden="1" customHeight="1">
      <c r="A110" s="50" t="s">
        <v>319</v>
      </c>
      <c r="B110" s="50" t="s">
        <v>74</v>
      </c>
      <c r="C110" s="39" t="s">
        <v>207</v>
      </c>
      <c r="D110" s="47" t="s">
        <v>10</v>
      </c>
      <c r="E110" s="42">
        <v>78</v>
      </c>
      <c r="F110" s="89">
        <v>29</v>
      </c>
      <c r="G110" s="86">
        <v>0.79375000000000007</v>
      </c>
      <c r="H110" s="95">
        <v>74</v>
      </c>
      <c r="I110" s="111">
        <v>38</v>
      </c>
      <c r="J110" s="33">
        <v>0.70833333333333337</v>
      </c>
      <c r="L110" s="50">
        <v>23</v>
      </c>
    </row>
    <row r="111" spans="1:17" s="22" customFormat="1" hidden="1">
      <c r="A111" t="s">
        <v>64</v>
      </c>
      <c r="B111" t="s">
        <v>63</v>
      </c>
      <c r="C111" s="39" t="s">
        <v>23</v>
      </c>
      <c r="D111" s="47" t="s">
        <v>10</v>
      </c>
      <c r="E111" s="42">
        <v>13</v>
      </c>
      <c r="F111" s="89">
        <v>2</v>
      </c>
      <c r="G111" s="86">
        <v>0.52638888888888891</v>
      </c>
      <c r="H111" s="95"/>
      <c r="I111" s="110">
        <v>40</v>
      </c>
      <c r="J111" s="94"/>
      <c r="K111"/>
      <c r="L111"/>
      <c r="M111"/>
      <c r="N111"/>
      <c r="O111"/>
      <c r="P111"/>
      <c r="Q111" s="50">
        <f t="shared" ref="Q111:Q116" si="4">F111+I111+L111+O111</f>
        <v>42</v>
      </c>
    </row>
    <row r="112" spans="1:17" hidden="1">
      <c r="A112" t="s">
        <v>341</v>
      </c>
      <c r="B112" t="s">
        <v>363</v>
      </c>
      <c r="C112" s="39" t="s">
        <v>11</v>
      </c>
      <c r="D112" s="47" t="s">
        <v>10</v>
      </c>
      <c r="E112" s="42">
        <v>25</v>
      </c>
      <c r="F112" s="89">
        <v>4</v>
      </c>
      <c r="G112" s="86">
        <v>0.55069444444444449</v>
      </c>
      <c r="H112" s="95"/>
      <c r="I112" s="111">
        <v>40</v>
      </c>
      <c r="J112" s="94"/>
      <c r="Q112" s="50">
        <f t="shared" si="4"/>
        <v>44</v>
      </c>
    </row>
    <row r="113" spans="1:17" hidden="1">
      <c r="A113" t="s">
        <v>298</v>
      </c>
      <c r="B113" t="s">
        <v>299</v>
      </c>
      <c r="C113" s="51" t="s">
        <v>36</v>
      </c>
      <c r="D113" s="47" t="s">
        <v>10</v>
      </c>
      <c r="E113" s="42">
        <v>27</v>
      </c>
      <c r="F113" s="89">
        <v>6</v>
      </c>
      <c r="G113" s="86">
        <v>0.55208333333333337</v>
      </c>
      <c r="H113" s="95"/>
      <c r="I113" s="110">
        <v>40</v>
      </c>
      <c r="J113" s="94"/>
      <c r="M113" s="50"/>
      <c r="P113" s="50"/>
      <c r="Q113" s="50">
        <f t="shared" si="4"/>
        <v>46</v>
      </c>
    </row>
    <row r="114" spans="1:17" hidden="1">
      <c r="A114" t="s">
        <v>335</v>
      </c>
      <c r="B114" t="s">
        <v>336</v>
      </c>
      <c r="C114" s="39" t="s">
        <v>23</v>
      </c>
      <c r="D114" s="47" t="s">
        <v>10</v>
      </c>
      <c r="E114" s="42">
        <v>32</v>
      </c>
      <c r="F114" s="89">
        <v>9</v>
      </c>
      <c r="G114" s="86">
        <v>0.55763888888888891</v>
      </c>
      <c r="H114" s="95"/>
      <c r="I114" s="111">
        <v>40</v>
      </c>
      <c r="J114" s="94"/>
      <c r="Q114" s="50">
        <f t="shared" si="4"/>
        <v>49</v>
      </c>
    </row>
    <row r="115" spans="1:17" hidden="1">
      <c r="A115" t="s">
        <v>60</v>
      </c>
      <c r="B115" t="s">
        <v>317</v>
      </c>
      <c r="C115" s="51" t="s">
        <v>318</v>
      </c>
      <c r="D115" s="47" t="s">
        <v>10</v>
      </c>
      <c r="E115" s="42">
        <v>37</v>
      </c>
      <c r="F115" s="89">
        <v>14</v>
      </c>
      <c r="G115" s="86">
        <v>0.57152777777777775</v>
      </c>
      <c r="H115" s="95"/>
      <c r="I115" s="110">
        <v>40</v>
      </c>
      <c r="J115" s="94"/>
      <c r="M115" s="50"/>
      <c r="P115" s="50"/>
      <c r="Q115" s="50">
        <f t="shared" si="4"/>
        <v>54</v>
      </c>
    </row>
    <row r="116" spans="1:17" hidden="1">
      <c r="A116" t="s">
        <v>96</v>
      </c>
      <c r="B116" t="s">
        <v>29</v>
      </c>
      <c r="C116" s="39" t="s">
        <v>11</v>
      </c>
      <c r="D116" s="47" t="s">
        <v>10</v>
      </c>
      <c r="E116" s="42">
        <v>44</v>
      </c>
      <c r="F116" s="89">
        <v>16</v>
      </c>
      <c r="G116" s="86">
        <v>0.5854166666666667</v>
      </c>
      <c r="H116" s="95"/>
      <c r="I116" s="111">
        <v>40</v>
      </c>
      <c r="J116" s="94"/>
      <c r="Q116" s="50">
        <f t="shared" si="4"/>
        <v>56</v>
      </c>
    </row>
    <row r="117" spans="1:17" hidden="1">
      <c r="A117" t="s">
        <v>294</v>
      </c>
      <c r="B117" t="s">
        <v>114</v>
      </c>
      <c r="C117" s="39" t="s">
        <v>11</v>
      </c>
      <c r="D117" s="47" t="s">
        <v>10</v>
      </c>
      <c r="E117" s="42">
        <v>50</v>
      </c>
      <c r="F117" s="89">
        <v>19</v>
      </c>
      <c r="G117" s="86">
        <v>0.6020833333333333</v>
      </c>
      <c r="H117" s="95"/>
      <c r="I117" s="110">
        <v>40</v>
      </c>
      <c r="J117" s="94"/>
      <c r="M117" s="50"/>
      <c r="P117" s="50"/>
      <c r="Q117" s="50">
        <f t="shared" ref="Q117:Q124" si="5">F117+I117+L117+O117</f>
        <v>59</v>
      </c>
    </row>
    <row r="118" spans="1:17" s="50" customFormat="1" hidden="1">
      <c r="A118" s="50" t="s">
        <v>487</v>
      </c>
      <c r="B118" s="50" t="s">
        <v>486</v>
      </c>
      <c r="C118" s="39" t="s">
        <v>18</v>
      </c>
      <c r="D118" s="47" t="s">
        <v>10</v>
      </c>
      <c r="E118" s="42">
        <v>59</v>
      </c>
      <c r="F118" s="89">
        <v>27</v>
      </c>
      <c r="G118" s="86">
        <v>0.62708333333333333</v>
      </c>
      <c r="H118" s="95"/>
      <c r="I118" s="111">
        <v>40</v>
      </c>
      <c r="J118" s="94"/>
      <c r="Q118" s="50">
        <f t="shared" si="5"/>
        <v>67</v>
      </c>
    </row>
    <row r="119" spans="1:17" s="50" customFormat="1" hidden="1">
      <c r="A119" s="50" t="s">
        <v>20</v>
      </c>
      <c r="B119" s="50" t="s">
        <v>351</v>
      </c>
      <c r="C119" s="55" t="s">
        <v>78</v>
      </c>
      <c r="D119" s="47" t="s">
        <v>10</v>
      </c>
      <c r="E119" s="42">
        <v>62</v>
      </c>
      <c r="F119" s="89">
        <v>28</v>
      </c>
      <c r="G119" s="86">
        <v>0.6381944444444444</v>
      </c>
      <c r="H119" s="95"/>
      <c r="I119" s="110">
        <v>40</v>
      </c>
      <c r="J119" s="94"/>
      <c r="Q119" s="50">
        <f t="shared" si="5"/>
        <v>68</v>
      </c>
    </row>
    <row r="120" spans="1:17" s="50" customFormat="1" hidden="1">
      <c r="A120" s="50" t="s">
        <v>292</v>
      </c>
      <c r="B120" s="50" t="s">
        <v>293</v>
      </c>
      <c r="C120" s="51" t="s">
        <v>36</v>
      </c>
      <c r="D120" s="47" t="s">
        <v>10</v>
      </c>
      <c r="E120" s="42">
        <v>67</v>
      </c>
      <c r="F120" s="89">
        <v>32</v>
      </c>
      <c r="G120" s="86">
        <v>0.67847222222222225</v>
      </c>
      <c r="H120" s="95"/>
      <c r="I120" s="111">
        <v>40</v>
      </c>
      <c r="J120" s="94"/>
      <c r="Q120" s="50">
        <f t="shared" si="5"/>
        <v>72</v>
      </c>
    </row>
    <row r="121" spans="1:17" s="50" customFormat="1" hidden="1">
      <c r="A121" s="50" t="s">
        <v>320</v>
      </c>
      <c r="B121" s="50" t="s">
        <v>72</v>
      </c>
      <c r="C121" s="39" t="s">
        <v>207</v>
      </c>
      <c r="D121" s="47" t="s">
        <v>10</v>
      </c>
      <c r="E121" s="42">
        <v>69</v>
      </c>
      <c r="F121" s="89">
        <v>34</v>
      </c>
      <c r="G121" s="86">
        <v>0.68680555555555556</v>
      </c>
      <c r="H121" s="95"/>
      <c r="I121" s="110">
        <v>40</v>
      </c>
      <c r="J121" s="94"/>
      <c r="Q121" s="50">
        <f t="shared" si="5"/>
        <v>74</v>
      </c>
    </row>
    <row r="122" spans="1:17" s="50" customFormat="1" hidden="1">
      <c r="A122" s="50" t="s">
        <v>294</v>
      </c>
      <c r="B122" s="50" t="s">
        <v>295</v>
      </c>
      <c r="C122" s="51" t="s">
        <v>36</v>
      </c>
      <c r="D122" s="47" t="s">
        <v>10</v>
      </c>
      <c r="E122" s="42">
        <v>71</v>
      </c>
      <c r="F122" s="89">
        <v>36</v>
      </c>
      <c r="G122" s="86">
        <v>0.68958333333333333</v>
      </c>
      <c r="H122" s="95"/>
      <c r="I122" s="111">
        <v>40</v>
      </c>
      <c r="J122" s="94"/>
      <c r="Q122" s="50">
        <f t="shared" si="5"/>
        <v>76</v>
      </c>
    </row>
    <row r="123" spans="1:17" s="23" customFormat="1" hidden="1">
      <c r="A123" t="s">
        <v>372</v>
      </c>
      <c r="B123" t="s">
        <v>373</v>
      </c>
      <c r="C123" s="39" t="s">
        <v>11</v>
      </c>
      <c r="D123" s="47" t="s">
        <v>10</v>
      </c>
      <c r="E123" s="42">
        <v>72</v>
      </c>
      <c r="F123" s="89">
        <v>37</v>
      </c>
      <c r="G123" s="86">
        <v>0.69444444444444453</v>
      </c>
      <c r="H123" s="95"/>
      <c r="I123" s="110">
        <v>40</v>
      </c>
      <c r="J123" s="94"/>
      <c r="K123"/>
      <c r="L123"/>
      <c r="M123"/>
      <c r="N123"/>
      <c r="O123"/>
      <c r="P123"/>
      <c r="Q123" s="50">
        <f t="shared" si="5"/>
        <v>77</v>
      </c>
    </row>
    <row r="124" spans="1:17" s="23" customFormat="1" hidden="1">
      <c r="A124" t="s">
        <v>307</v>
      </c>
      <c r="B124" t="s">
        <v>308</v>
      </c>
      <c r="C124" s="51" t="s">
        <v>214</v>
      </c>
      <c r="D124" s="47" t="s">
        <v>10</v>
      </c>
      <c r="E124" s="42">
        <v>77</v>
      </c>
      <c r="F124" s="89">
        <v>42</v>
      </c>
      <c r="G124" s="86">
        <v>0.77222222222222225</v>
      </c>
      <c r="H124" s="95"/>
      <c r="I124" s="111">
        <v>40</v>
      </c>
      <c r="J124" s="94"/>
      <c r="K124"/>
      <c r="L124"/>
      <c r="M124"/>
      <c r="N124"/>
      <c r="O124"/>
      <c r="P124"/>
      <c r="Q124" s="50">
        <f t="shared" si="5"/>
        <v>82</v>
      </c>
    </row>
    <row r="125" spans="1:17" s="23" customFormat="1">
      <c r="A125"/>
      <c r="B125"/>
      <c r="C125"/>
      <c r="D125"/>
      <c r="E125"/>
      <c r="F125" s="59"/>
      <c r="G125"/>
      <c r="H125"/>
      <c r="I125" s="110"/>
      <c r="J125"/>
      <c r="K125"/>
      <c r="L125"/>
      <c r="M125"/>
      <c r="N125"/>
      <c r="O125"/>
      <c r="P125"/>
      <c r="Q125"/>
    </row>
    <row r="126" spans="1:17">
      <c r="E126" s="42">
        <v>79</v>
      </c>
    </row>
    <row r="127" spans="1:17">
      <c r="A127" s="64" t="s">
        <v>270</v>
      </c>
      <c r="B127" s="62"/>
      <c r="C127" s="62"/>
      <c r="D127" s="65"/>
      <c r="E127" s="62"/>
      <c r="F127" s="66" t="s">
        <v>97</v>
      </c>
      <c r="G127" s="67"/>
      <c r="H127" s="97"/>
      <c r="I127" s="74" t="s">
        <v>98</v>
      </c>
      <c r="J127" s="67"/>
      <c r="K127" s="67"/>
      <c r="L127" s="67" t="s">
        <v>99</v>
      </c>
      <c r="M127" s="67"/>
      <c r="N127" s="67"/>
      <c r="O127" s="67" t="s">
        <v>100</v>
      </c>
      <c r="P127" s="67"/>
      <c r="Q127" s="67" t="s">
        <v>101</v>
      </c>
    </row>
    <row r="128" spans="1:17">
      <c r="A128" s="70" t="s">
        <v>78</v>
      </c>
      <c r="B128" s="62"/>
      <c r="C128" s="62"/>
      <c r="D128" s="65"/>
      <c r="E128" s="71" t="s">
        <v>461</v>
      </c>
      <c r="F128" s="60">
        <f xml:space="preserve"> 3+14+21</f>
        <v>38</v>
      </c>
      <c r="G128" s="65" t="s">
        <v>462</v>
      </c>
      <c r="H128" s="98" t="s">
        <v>613</v>
      </c>
      <c r="I128" s="112">
        <f xml:space="preserve"> 5+10+17</f>
        <v>32</v>
      </c>
      <c r="J128" s="69" t="s">
        <v>104</v>
      </c>
      <c r="K128" s="71" t="s">
        <v>742</v>
      </c>
      <c r="L128" s="82">
        <f xml:space="preserve"> 4+27+27</f>
        <v>58</v>
      </c>
      <c r="M128" s="67" t="s">
        <v>106</v>
      </c>
      <c r="N128" s="62"/>
      <c r="O128" s="62"/>
      <c r="P128" s="62"/>
      <c r="Q128" s="62">
        <f t="shared" ref="Q128:Q140" si="6">F128+I128+L128+O128</f>
        <v>128</v>
      </c>
    </row>
    <row r="129" spans="1:17">
      <c r="A129" s="62" t="s">
        <v>36</v>
      </c>
      <c r="B129" s="62"/>
      <c r="C129" s="62"/>
      <c r="D129" s="65"/>
      <c r="E129" s="71" t="s">
        <v>374</v>
      </c>
      <c r="F129" s="60">
        <f>1+13+15</f>
        <v>29</v>
      </c>
      <c r="G129" s="65" t="s">
        <v>104</v>
      </c>
      <c r="H129" s="98" t="s">
        <v>604</v>
      </c>
      <c r="I129" s="112">
        <f xml:space="preserve"> 15+25+28</f>
        <v>68</v>
      </c>
      <c r="J129" s="69" t="s">
        <v>108</v>
      </c>
      <c r="K129" s="71" t="s">
        <v>743</v>
      </c>
      <c r="L129" s="82">
        <f xml:space="preserve"> 11+12+13</f>
        <v>36</v>
      </c>
      <c r="M129" s="67" t="s">
        <v>104</v>
      </c>
      <c r="N129" s="62"/>
      <c r="O129" s="62">
        <f>N129</f>
        <v>0</v>
      </c>
      <c r="P129" s="62"/>
      <c r="Q129" s="62">
        <f t="shared" si="6"/>
        <v>133</v>
      </c>
    </row>
    <row r="130" spans="1:17">
      <c r="A130" s="70" t="s">
        <v>474</v>
      </c>
      <c r="B130" s="62"/>
      <c r="C130" s="62"/>
      <c r="D130" s="65"/>
      <c r="E130" s="71" t="s">
        <v>375</v>
      </c>
      <c r="F130" s="60">
        <f xml:space="preserve"> 7+10+24</f>
        <v>41</v>
      </c>
      <c r="G130" s="65" t="s">
        <v>110</v>
      </c>
      <c r="H130" s="98" t="s">
        <v>605</v>
      </c>
      <c r="I130" s="112">
        <f>1+8+19</f>
        <v>28</v>
      </c>
      <c r="J130" s="69" t="s">
        <v>103</v>
      </c>
      <c r="K130" s="71" t="s">
        <v>744</v>
      </c>
      <c r="L130" s="82">
        <f>9+27+27</f>
        <v>63</v>
      </c>
      <c r="M130" s="67" t="s">
        <v>107</v>
      </c>
      <c r="N130" s="62"/>
      <c r="O130" s="62"/>
      <c r="P130" s="62"/>
      <c r="Q130" s="62">
        <f t="shared" si="6"/>
        <v>132</v>
      </c>
    </row>
    <row r="131" spans="1:17">
      <c r="A131" s="70" t="s">
        <v>475</v>
      </c>
      <c r="B131" s="62"/>
      <c r="C131" s="62"/>
      <c r="D131" s="65"/>
      <c r="E131" s="71" t="s">
        <v>376</v>
      </c>
      <c r="F131" s="60">
        <f xml:space="preserve"> 19 +36+36</f>
        <v>91</v>
      </c>
      <c r="G131" s="65" t="s">
        <v>452</v>
      </c>
      <c r="H131" s="98" t="s">
        <v>616</v>
      </c>
      <c r="I131" s="112">
        <f>36+36+36</f>
        <v>108</v>
      </c>
      <c r="J131" s="69" t="s">
        <v>617</v>
      </c>
      <c r="K131" s="71" t="s">
        <v>496</v>
      </c>
      <c r="L131" s="82">
        <f>27+27+27</f>
        <v>81</v>
      </c>
      <c r="M131" s="67" t="s">
        <v>468</v>
      </c>
      <c r="N131" s="62"/>
      <c r="O131" s="62"/>
      <c r="P131" s="62"/>
      <c r="Q131" s="62">
        <f t="shared" si="6"/>
        <v>280</v>
      </c>
    </row>
    <row r="132" spans="1:17">
      <c r="A132" s="72" t="s">
        <v>476</v>
      </c>
      <c r="B132" s="62"/>
      <c r="C132" s="62"/>
      <c r="D132" s="65"/>
      <c r="E132" s="71" t="s">
        <v>377</v>
      </c>
      <c r="F132" s="60">
        <f xml:space="preserve"> 2+11+12</f>
        <v>25</v>
      </c>
      <c r="G132" s="65" t="s">
        <v>103</v>
      </c>
      <c r="H132" s="98" t="s">
        <v>609</v>
      </c>
      <c r="I132" s="112">
        <f xml:space="preserve"> 4+33+36</f>
        <v>73</v>
      </c>
      <c r="J132" s="69" t="s">
        <v>452</v>
      </c>
      <c r="K132" s="71" t="s">
        <v>745</v>
      </c>
      <c r="L132" s="82">
        <f>10+27+27</f>
        <v>64</v>
      </c>
      <c r="M132" s="67" t="s">
        <v>108</v>
      </c>
      <c r="N132" s="62"/>
      <c r="O132" s="62"/>
      <c r="P132" s="62"/>
      <c r="Q132" s="62">
        <f t="shared" si="6"/>
        <v>162</v>
      </c>
    </row>
    <row r="133" spans="1:17">
      <c r="A133" s="149" t="s">
        <v>477</v>
      </c>
      <c r="B133" s="136"/>
      <c r="C133" s="136"/>
      <c r="D133" s="150"/>
      <c r="E133" s="138" t="s">
        <v>378</v>
      </c>
      <c r="F133" s="140">
        <f xml:space="preserve"> 5+6+9</f>
        <v>20</v>
      </c>
      <c r="G133" s="150" t="s">
        <v>109</v>
      </c>
      <c r="H133" s="151" t="s">
        <v>606</v>
      </c>
      <c r="I133" s="152">
        <f xml:space="preserve"> 6+7+9</f>
        <v>22</v>
      </c>
      <c r="J133" s="139" t="s">
        <v>102</v>
      </c>
      <c r="K133" s="138" t="s">
        <v>746</v>
      </c>
      <c r="L133" s="140">
        <f>3+5+8</f>
        <v>16</v>
      </c>
      <c r="M133" s="153" t="s">
        <v>109</v>
      </c>
      <c r="N133" s="136"/>
      <c r="O133" s="136"/>
      <c r="P133" s="136"/>
      <c r="Q133" s="136">
        <f t="shared" si="6"/>
        <v>58</v>
      </c>
    </row>
    <row r="134" spans="1:17">
      <c r="A134" s="72" t="s">
        <v>207</v>
      </c>
      <c r="B134" s="62"/>
      <c r="C134" s="62"/>
      <c r="D134" s="65"/>
      <c r="E134" s="71" t="s">
        <v>379</v>
      </c>
      <c r="F134" s="60">
        <f xml:space="preserve"> 16+36+36</f>
        <v>88</v>
      </c>
      <c r="G134" s="65" t="s">
        <v>452</v>
      </c>
      <c r="H134" s="98" t="s">
        <v>607</v>
      </c>
      <c r="I134" s="113">
        <f xml:space="preserve"> 35+36+36</f>
        <v>107</v>
      </c>
      <c r="J134" s="69" t="s">
        <v>468</v>
      </c>
      <c r="K134" s="71" t="s">
        <v>747</v>
      </c>
      <c r="L134" s="82">
        <f>26+27+27</f>
        <v>80</v>
      </c>
      <c r="M134" s="67" t="s">
        <v>467</v>
      </c>
      <c r="N134" s="62"/>
      <c r="O134" s="62"/>
      <c r="P134" s="62"/>
      <c r="Q134" s="62">
        <f t="shared" si="6"/>
        <v>275</v>
      </c>
    </row>
    <row r="135" spans="1:17">
      <c r="A135" s="72" t="s">
        <v>390</v>
      </c>
      <c r="B135" s="62"/>
      <c r="C135" s="62"/>
      <c r="D135" s="65"/>
      <c r="E135" s="71" t="s">
        <v>380</v>
      </c>
      <c r="F135" s="60">
        <f xml:space="preserve"> 34+36+36</f>
        <v>106</v>
      </c>
      <c r="G135" s="65" t="s">
        <v>468</v>
      </c>
      <c r="H135" s="98" t="s">
        <v>615</v>
      </c>
      <c r="I135" s="113">
        <f xml:space="preserve"> 18+34+36</f>
        <v>88</v>
      </c>
      <c r="J135" s="69" t="s">
        <v>467</v>
      </c>
      <c r="K135" s="71" t="s">
        <v>748</v>
      </c>
      <c r="L135" s="82">
        <f>18+22+27</f>
        <v>67</v>
      </c>
      <c r="M135" s="67" t="s">
        <v>452</v>
      </c>
      <c r="N135" s="62"/>
      <c r="O135" s="62"/>
      <c r="P135" s="62"/>
      <c r="Q135" s="62">
        <f t="shared" si="6"/>
        <v>261</v>
      </c>
    </row>
    <row r="136" spans="1:17">
      <c r="A136" s="72" t="s">
        <v>174</v>
      </c>
      <c r="B136" s="62"/>
      <c r="C136" s="62"/>
      <c r="D136" s="65"/>
      <c r="E136" s="71" t="s">
        <v>381</v>
      </c>
      <c r="F136" s="60">
        <f>23+35+36</f>
        <v>94</v>
      </c>
      <c r="G136" s="65" t="s">
        <v>455</v>
      </c>
      <c r="H136" s="98" t="s">
        <v>614</v>
      </c>
      <c r="I136" s="113">
        <f>14+16+31</f>
        <v>61</v>
      </c>
      <c r="J136" s="69" t="s">
        <v>105</v>
      </c>
      <c r="K136" s="71" t="s">
        <v>749</v>
      </c>
      <c r="L136" s="82">
        <f>19+24+27</f>
        <v>70</v>
      </c>
      <c r="M136" s="67" t="s">
        <v>455</v>
      </c>
      <c r="N136" s="62"/>
      <c r="O136" s="62"/>
      <c r="P136" s="62"/>
      <c r="Q136" s="62">
        <f t="shared" si="6"/>
        <v>225</v>
      </c>
    </row>
    <row r="137" spans="1:17" s="50" customFormat="1">
      <c r="A137" s="72" t="s">
        <v>9</v>
      </c>
      <c r="B137" s="62"/>
      <c r="C137" s="62"/>
      <c r="D137" s="65"/>
      <c r="E137" s="71" t="s">
        <v>458</v>
      </c>
      <c r="F137" s="60">
        <f>17+18+36</f>
        <v>71</v>
      </c>
      <c r="G137" s="65" t="s">
        <v>106</v>
      </c>
      <c r="H137" s="98" t="s">
        <v>611</v>
      </c>
      <c r="I137" s="113">
        <f>11+20+36</f>
        <v>67</v>
      </c>
      <c r="J137" s="69" t="s">
        <v>107</v>
      </c>
      <c r="K137" s="71" t="s">
        <v>750</v>
      </c>
      <c r="L137" s="82">
        <f xml:space="preserve"> 6+7+14</f>
        <v>27</v>
      </c>
      <c r="M137" s="67" t="s">
        <v>623</v>
      </c>
      <c r="N137" s="62"/>
      <c r="O137" s="62"/>
      <c r="P137" s="62"/>
      <c r="Q137" s="62">
        <f t="shared" si="6"/>
        <v>165</v>
      </c>
    </row>
    <row r="138" spans="1:17" s="50" customFormat="1">
      <c r="A138" s="72" t="s">
        <v>456</v>
      </c>
      <c r="B138" s="62"/>
      <c r="C138" s="62"/>
      <c r="D138" s="65"/>
      <c r="E138" s="71" t="s">
        <v>459</v>
      </c>
      <c r="F138" s="73">
        <f>22+36+36</f>
        <v>94</v>
      </c>
      <c r="G138" s="65" t="s">
        <v>455</v>
      </c>
      <c r="H138" s="98" t="s">
        <v>610</v>
      </c>
      <c r="I138" s="113">
        <f xml:space="preserve"> 13+21+29</f>
        <v>63</v>
      </c>
      <c r="J138" s="69" t="s">
        <v>110</v>
      </c>
      <c r="K138" s="71" t="s">
        <v>496</v>
      </c>
      <c r="L138" s="82">
        <f>27+27+27</f>
        <v>81</v>
      </c>
      <c r="M138" s="67" t="s">
        <v>468</v>
      </c>
      <c r="N138" s="62"/>
      <c r="O138" s="62"/>
      <c r="P138" s="62"/>
      <c r="Q138" s="62">
        <f t="shared" si="6"/>
        <v>238</v>
      </c>
    </row>
    <row r="139" spans="1:17">
      <c r="A139" s="62" t="s">
        <v>325</v>
      </c>
      <c r="B139" s="62"/>
      <c r="C139" s="62"/>
      <c r="D139" s="65"/>
      <c r="E139" s="71" t="s">
        <v>463</v>
      </c>
      <c r="F139" s="60">
        <f>8+36+36</f>
        <v>80</v>
      </c>
      <c r="G139" s="65" t="s">
        <v>108</v>
      </c>
      <c r="H139" s="98" t="s">
        <v>612</v>
      </c>
      <c r="I139" s="113">
        <f xml:space="preserve"> 2+36+36</f>
        <v>74</v>
      </c>
      <c r="J139" s="69" t="s">
        <v>455</v>
      </c>
      <c r="K139" s="71" t="s">
        <v>751</v>
      </c>
      <c r="L139" s="82">
        <f>1+27+27</f>
        <v>55</v>
      </c>
      <c r="M139" s="67" t="s">
        <v>105</v>
      </c>
      <c r="N139" s="62"/>
      <c r="O139" s="62"/>
      <c r="P139" s="62"/>
      <c r="Q139" s="62">
        <f t="shared" si="6"/>
        <v>209</v>
      </c>
    </row>
    <row r="140" spans="1:17">
      <c r="A140" s="72" t="s">
        <v>450</v>
      </c>
      <c r="B140" s="62"/>
      <c r="C140" s="62"/>
      <c r="D140" s="65"/>
      <c r="E140" s="71" t="s">
        <v>460</v>
      </c>
      <c r="F140" s="60">
        <f>4+36+36</f>
        <v>76</v>
      </c>
      <c r="G140" s="65" t="s">
        <v>107</v>
      </c>
      <c r="H140" s="71" t="s">
        <v>608</v>
      </c>
      <c r="I140" s="113">
        <f xml:space="preserve"> 3+26+36</f>
        <v>65</v>
      </c>
      <c r="J140" s="99" t="s">
        <v>106</v>
      </c>
      <c r="K140" s="71" t="s">
        <v>752</v>
      </c>
      <c r="L140" s="82">
        <f>2+27+27</f>
        <v>56</v>
      </c>
      <c r="M140" s="107" t="s">
        <v>110</v>
      </c>
      <c r="N140" s="82"/>
      <c r="O140" s="82"/>
      <c r="P140" s="82"/>
      <c r="Q140" s="62">
        <f t="shared" si="6"/>
        <v>197</v>
      </c>
    </row>
    <row r="141" spans="1:17" s="50" customFormat="1">
      <c r="A141" s="83"/>
      <c r="B141" s="77"/>
      <c r="C141" s="77"/>
      <c r="D141" s="78"/>
      <c r="E141" s="84"/>
      <c r="F141" s="109"/>
      <c r="G141" s="79"/>
      <c r="I141" s="110"/>
    </row>
    <row r="142" spans="1:17">
      <c r="A142" s="50"/>
      <c r="B142" s="50"/>
      <c r="C142" s="50"/>
      <c r="D142" s="43"/>
      <c r="E142" s="50"/>
      <c r="G142" s="50"/>
      <c r="H142" s="50"/>
      <c r="J142" s="50"/>
      <c r="K142" s="50"/>
      <c r="L142" s="50"/>
      <c r="M142" s="50"/>
      <c r="N142" s="50"/>
      <c r="O142" s="50"/>
      <c r="P142" s="50"/>
      <c r="Q142" s="50"/>
    </row>
    <row r="143" spans="1:17">
      <c r="A143" s="64" t="s">
        <v>271</v>
      </c>
      <c r="B143" s="62"/>
      <c r="C143" s="62"/>
      <c r="D143" s="65"/>
      <c r="E143" s="62"/>
      <c r="F143" s="66" t="s">
        <v>97</v>
      </c>
      <c r="G143" s="67"/>
      <c r="H143" s="67"/>
      <c r="I143" s="74" t="s">
        <v>98</v>
      </c>
      <c r="J143" s="67"/>
      <c r="K143" s="67"/>
      <c r="L143" s="67" t="s">
        <v>99</v>
      </c>
      <c r="M143" s="67"/>
      <c r="N143" s="67"/>
      <c r="O143" s="67" t="s">
        <v>100</v>
      </c>
      <c r="P143" s="67"/>
      <c r="Q143" s="67" t="s">
        <v>101</v>
      </c>
    </row>
    <row r="144" spans="1:17">
      <c r="A144" s="70" t="s">
        <v>78</v>
      </c>
      <c r="B144" s="62"/>
      <c r="C144" s="62"/>
      <c r="D144" s="65"/>
      <c r="E144" s="71" t="s">
        <v>464</v>
      </c>
      <c r="F144" s="60">
        <f>21+22+28</f>
        <v>71</v>
      </c>
      <c r="G144" s="65" t="s">
        <v>110</v>
      </c>
      <c r="H144" s="71" t="s">
        <v>622</v>
      </c>
      <c r="I144" s="113">
        <f>3+5+17</f>
        <v>25</v>
      </c>
      <c r="J144" s="69" t="s">
        <v>623</v>
      </c>
      <c r="K144" s="71" t="s">
        <v>755</v>
      </c>
      <c r="L144" s="62">
        <f>5+10+12</f>
        <v>27</v>
      </c>
      <c r="M144" s="67" t="s">
        <v>104</v>
      </c>
      <c r="N144" s="62"/>
      <c r="O144" s="62"/>
      <c r="P144" s="62"/>
      <c r="Q144" s="62">
        <f t="shared" ref="Q144:Q146" si="7">F144+I144+L144+O144</f>
        <v>123</v>
      </c>
    </row>
    <row r="145" spans="1:17">
      <c r="A145" s="62" t="s">
        <v>36</v>
      </c>
      <c r="B145" s="62"/>
      <c r="C145" s="62"/>
      <c r="D145" s="65"/>
      <c r="E145" s="71" t="s">
        <v>453</v>
      </c>
      <c r="F145" s="73">
        <f>6+8+31</f>
        <v>45</v>
      </c>
      <c r="G145" s="65" t="s">
        <v>104</v>
      </c>
      <c r="H145" s="71" t="s">
        <v>675</v>
      </c>
      <c r="I145" s="113">
        <f xml:space="preserve"> 13+37+39</f>
        <v>89</v>
      </c>
      <c r="J145" s="69" t="s">
        <v>107</v>
      </c>
      <c r="K145" s="71" t="s">
        <v>756</v>
      </c>
      <c r="L145" s="82">
        <f>20+21+21</f>
        <v>62</v>
      </c>
      <c r="M145" s="67" t="s">
        <v>107</v>
      </c>
      <c r="N145" s="62"/>
      <c r="O145" s="62">
        <f>N145</f>
        <v>0</v>
      </c>
      <c r="P145" s="62"/>
      <c r="Q145" s="62">
        <f t="shared" si="7"/>
        <v>196</v>
      </c>
    </row>
    <row r="146" spans="1:17">
      <c r="A146" s="70" t="s">
        <v>474</v>
      </c>
      <c r="B146" s="62"/>
      <c r="C146" s="62"/>
      <c r="D146" s="65"/>
      <c r="E146" s="71" t="s">
        <v>382</v>
      </c>
      <c r="F146" s="73">
        <f xml:space="preserve"> 1+2+9</f>
        <v>12</v>
      </c>
      <c r="G146" s="85" t="s">
        <v>109</v>
      </c>
      <c r="H146" s="71" t="s">
        <v>618</v>
      </c>
      <c r="I146" s="113">
        <f xml:space="preserve"> 1+9+19</f>
        <v>29</v>
      </c>
      <c r="J146" s="69" t="s">
        <v>104</v>
      </c>
      <c r="K146" s="71" t="s">
        <v>753</v>
      </c>
      <c r="L146" s="62">
        <f>1+8+11</f>
        <v>20</v>
      </c>
      <c r="M146" s="67" t="s">
        <v>103</v>
      </c>
      <c r="N146" s="62"/>
      <c r="O146" s="62"/>
      <c r="P146" s="62"/>
      <c r="Q146" s="62">
        <f t="shared" si="7"/>
        <v>61</v>
      </c>
    </row>
    <row r="147" spans="1:17">
      <c r="A147" s="62" t="s">
        <v>163</v>
      </c>
      <c r="B147" s="62"/>
      <c r="C147" s="62"/>
      <c r="D147" s="65"/>
      <c r="E147" s="71" t="s">
        <v>451</v>
      </c>
      <c r="F147" s="60">
        <f xml:space="preserve"> 13+17+23</f>
        <v>53</v>
      </c>
      <c r="G147" s="65" t="s">
        <v>105</v>
      </c>
      <c r="H147" s="71" t="s">
        <v>620</v>
      </c>
      <c r="I147" s="113">
        <f>10+11+14</f>
        <v>35</v>
      </c>
      <c r="J147" s="69" t="s">
        <v>105</v>
      </c>
      <c r="K147" s="71" t="s">
        <v>757</v>
      </c>
      <c r="L147" s="82">
        <f>7+19+20</f>
        <v>46</v>
      </c>
      <c r="M147" s="67" t="s">
        <v>110</v>
      </c>
      <c r="N147" s="62"/>
      <c r="O147" s="62"/>
      <c r="P147" s="62"/>
      <c r="Q147" s="62">
        <f t="shared" ref="Q147:Q156" si="8">F148+I147+L147+O147</f>
        <v>183</v>
      </c>
    </row>
    <row r="148" spans="1:17">
      <c r="A148" s="70" t="s">
        <v>475</v>
      </c>
      <c r="B148" s="62"/>
      <c r="C148" s="62"/>
      <c r="D148" s="65"/>
      <c r="E148" s="71" t="s">
        <v>383</v>
      </c>
      <c r="F148" s="73">
        <f>14+44+44</f>
        <v>102</v>
      </c>
      <c r="G148" s="65" t="s">
        <v>106</v>
      </c>
      <c r="H148" s="71" t="s">
        <v>678</v>
      </c>
      <c r="I148" s="113">
        <f xml:space="preserve"> 39+39+39</f>
        <v>117</v>
      </c>
      <c r="J148" s="69" t="s">
        <v>468</v>
      </c>
      <c r="K148" s="71" t="s">
        <v>758</v>
      </c>
      <c r="L148" s="82">
        <f>3+13+23</f>
        <v>39</v>
      </c>
      <c r="M148" s="67" t="s">
        <v>105</v>
      </c>
      <c r="N148" s="62"/>
      <c r="O148" s="62"/>
      <c r="P148" s="62"/>
      <c r="Q148" s="62">
        <f t="shared" si="8"/>
        <v>268</v>
      </c>
    </row>
    <row r="149" spans="1:17">
      <c r="A149" s="72" t="s">
        <v>476</v>
      </c>
      <c r="B149" s="62"/>
      <c r="C149" s="62"/>
      <c r="D149" s="65"/>
      <c r="E149" s="71" t="s">
        <v>384</v>
      </c>
      <c r="F149" s="73">
        <f xml:space="preserve"> 24+44+44</f>
        <v>112</v>
      </c>
      <c r="G149" s="65" t="s">
        <v>108</v>
      </c>
      <c r="H149" s="71" t="s">
        <v>677</v>
      </c>
      <c r="I149" s="113">
        <f xml:space="preserve"> 24+39+39</f>
        <v>102</v>
      </c>
      <c r="J149" s="69" t="s">
        <v>452</v>
      </c>
      <c r="K149" s="71" t="s">
        <v>759</v>
      </c>
      <c r="L149" s="62">
        <f>23+23+23</f>
        <v>69</v>
      </c>
      <c r="M149" s="67" t="s">
        <v>107</v>
      </c>
      <c r="N149" s="62"/>
      <c r="O149" s="62"/>
      <c r="P149" s="62"/>
      <c r="Q149" s="62">
        <f t="shared" si="8"/>
        <v>183</v>
      </c>
    </row>
    <row r="150" spans="1:17">
      <c r="A150" s="149" t="s">
        <v>477</v>
      </c>
      <c r="B150" s="136"/>
      <c r="C150" s="136"/>
      <c r="D150" s="150"/>
      <c r="E150" s="138" t="s">
        <v>385</v>
      </c>
      <c r="F150" s="140">
        <f xml:space="preserve"> 3+4+5</f>
        <v>12</v>
      </c>
      <c r="G150" s="150" t="s">
        <v>109</v>
      </c>
      <c r="H150" s="138" t="s">
        <v>619</v>
      </c>
      <c r="I150" s="154">
        <f>2+6+7</f>
        <v>15</v>
      </c>
      <c r="J150" s="139" t="s">
        <v>102</v>
      </c>
      <c r="K150" s="138" t="s">
        <v>754</v>
      </c>
      <c r="L150" s="136">
        <f>2+4+6</f>
        <v>12</v>
      </c>
      <c r="M150" s="153" t="s">
        <v>109</v>
      </c>
      <c r="N150" s="136"/>
      <c r="O150" s="136"/>
      <c r="P150" s="136"/>
      <c r="Q150" s="136">
        <f>F150+I150+L150+O150</f>
        <v>39</v>
      </c>
    </row>
    <row r="151" spans="1:17">
      <c r="A151" s="72" t="s">
        <v>207</v>
      </c>
      <c r="B151" s="62"/>
      <c r="C151" s="62"/>
      <c r="D151" s="65"/>
      <c r="E151" s="71" t="s">
        <v>386</v>
      </c>
      <c r="F151" s="73">
        <f xml:space="preserve"> 34+43+44</f>
        <v>121</v>
      </c>
      <c r="G151" s="65" t="s">
        <v>467</v>
      </c>
      <c r="H151" s="71" t="s">
        <v>679</v>
      </c>
      <c r="I151" s="113">
        <f>38+39+39</f>
        <v>116</v>
      </c>
      <c r="J151" s="69" t="s">
        <v>467</v>
      </c>
      <c r="K151" s="71" t="s">
        <v>759</v>
      </c>
      <c r="L151" s="62">
        <f>23+23+23</f>
        <v>69</v>
      </c>
      <c r="M151" s="67" t="s">
        <v>108</v>
      </c>
      <c r="N151" s="62"/>
      <c r="O151" s="62"/>
      <c r="P151" s="62"/>
      <c r="Q151" s="62">
        <f t="shared" si="8"/>
        <v>304</v>
      </c>
    </row>
    <row r="152" spans="1:17">
      <c r="A152" s="72" t="s">
        <v>390</v>
      </c>
      <c r="B152" s="62"/>
      <c r="C152" s="62"/>
      <c r="D152" s="65"/>
      <c r="E152" s="71" t="s">
        <v>387</v>
      </c>
      <c r="F152" s="73">
        <f>33+42+44</f>
        <v>119</v>
      </c>
      <c r="G152" s="65" t="s">
        <v>455</v>
      </c>
      <c r="H152" s="71" t="s">
        <v>680</v>
      </c>
      <c r="I152" s="113">
        <f>18+31+33</f>
        <v>82</v>
      </c>
      <c r="J152" s="69" t="s">
        <v>106</v>
      </c>
      <c r="K152" s="71" t="s">
        <v>759</v>
      </c>
      <c r="L152" s="62">
        <f>23+23+23</f>
        <v>69</v>
      </c>
      <c r="M152" s="67" t="s">
        <v>108</v>
      </c>
      <c r="N152" s="62"/>
      <c r="O152" s="62"/>
      <c r="P152" s="62"/>
      <c r="Q152" s="62">
        <f t="shared" si="8"/>
        <v>277</v>
      </c>
    </row>
    <row r="153" spans="1:17">
      <c r="A153" s="72" t="s">
        <v>174</v>
      </c>
      <c r="B153" s="62"/>
      <c r="C153" s="62"/>
      <c r="D153" s="65"/>
      <c r="E153" s="71" t="s">
        <v>388</v>
      </c>
      <c r="F153" s="73">
        <f xml:space="preserve"> 38+44+44</f>
        <v>126</v>
      </c>
      <c r="G153" s="65" t="s">
        <v>468</v>
      </c>
      <c r="H153" s="71" t="s">
        <v>681</v>
      </c>
      <c r="I153" s="113">
        <f xml:space="preserve"> 16+32+39</f>
        <v>87</v>
      </c>
      <c r="J153" s="69" t="s">
        <v>108</v>
      </c>
      <c r="K153" s="71" t="s">
        <v>759</v>
      </c>
      <c r="L153" s="62">
        <f>23+23+23</f>
        <v>69</v>
      </c>
      <c r="M153" s="67" t="s">
        <v>108</v>
      </c>
      <c r="N153" s="62"/>
      <c r="O153" s="62"/>
      <c r="P153" s="62"/>
      <c r="Q153" s="62">
        <f t="shared" si="8"/>
        <v>288</v>
      </c>
    </row>
    <row r="154" spans="1:17" s="50" customFormat="1">
      <c r="A154" s="72" t="s">
        <v>325</v>
      </c>
      <c r="B154" s="62"/>
      <c r="C154" s="62"/>
      <c r="D154" s="65"/>
      <c r="E154" s="71" t="s">
        <v>621</v>
      </c>
      <c r="F154" s="73">
        <f xml:space="preserve"> 44+44+44</f>
        <v>132</v>
      </c>
      <c r="G154" s="65" t="s">
        <v>617</v>
      </c>
      <c r="H154" s="71" t="s">
        <v>682</v>
      </c>
      <c r="I154" s="113">
        <f xml:space="preserve"> 4+15+39</f>
        <v>58</v>
      </c>
      <c r="J154" s="69" t="s">
        <v>110</v>
      </c>
      <c r="K154" s="71" t="s">
        <v>759</v>
      </c>
      <c r="L154" s="62">
        <f>23+23+23</f>
        <v>69</v>
      </c>
      <c r="M154" s="67" t="s">
        <v>108</v>
      </c>
      <c r="N154" s="62"/>
      <c r="O154" s="62"/>
      <c r="P154" s="62"/>
      <c r="Q154" s="62">
        <f t="shared" si="8"/>
        <v>242</v>
      </c>
    </row>
    <row r="155" spans="1:17">
      <c r="A155" s="72" t="s">
        <v>450</v>
      </c>
      <c r="B155" s="62"/>
      <c r="C155" s="62"/>
      <c r="D155" s="62"/>
      <c r="E155" s="71" t="s">
        <v>465</v>
      </c>
      <c r="F155" s="60">
        <f xml:space="preserve"> 27+44 +44</f>
        <v>115</v>
      </c>
      <c r="G155" s="65" t="s">
        <v>452</v>
      </c>
      <c r="H155" s="71" t="s">
        <v>676</v>
      </c>
      <c r="I155" s="113">
        <f>39+39+39</f>
        <v>117</v>
      </c>
      <c r="J155" s="69" t="s">
        <v>468</v>
      </c>
      <c r="K155" s="71" t="s">
        <v>759</v>
      </c>
      <c r="L155" s="62">
        <f>23+23+23</f>
        <v>69</v>
      </c>
      <c r="M155" s="67" t="s">
        <v>108</v>
      </c>
      <c r="N155" s="62"/>
      <c r="O155" s="62"/>
      <c r="P155" s="62"/>
      <c r="Q155" s="62">
        <f t="shared" si="8"/>
        <v>294</v>
      </c>
    </row>
    <row r="156" spans="1:17">
      <c r="A156" s="72" t="s">
        <v>457</v>
      </c>
      <c r="B156" s="62"/>
      <c r="C156" s="62"/>
      <c r="D156" s="62"/>
      <c r="E156" s="71" t="s">
        <v>466</v>
      </c>
      <c r="F156" s="60">
        <f xml:space="preserve"> 20+44+44</f>
        <v>108</v>
      </c>
      <c r="G156" s="65" t="s">
        <v>107</v>
      </c>
      <c r="H156" s="71" t="s">
        <v>683</v>
      </c>
      <c r="I156" s="113">
        <f>25+39+39</f>
        <v>103</v>
      </c>
      <c r="J156" s="69" t="s">
        <v>455</v>
      </c>
      <c r="K156" s="71" t="s">
        <v>760</v>
      </c>
      <c r="L156" s="82">
        <f>14+23+23</f>
        <v>60</v>
      </c>
      <c r="M156" s="67" t="s">
        <v>106</v>
      </c>
      <c r="N156" s="62"/>
      <c r="O156" s="62"/>
      <c r="P156" s="62"/>
      <c r="Q156" s="62">
        <f t="shared" si="8"/>
        <v>163</v>
      </c>
    </row>
  </sheetData>
  <sortState ref="A5:Q85">
    <sortCondition ref="D5:D85"/>
  </sortState>
  <mergeCells count="9">
    <mergeCell ref="N3:P3"/>
    <mergeCell ref="Q3:Q4"/>
    <mergeCell ref="B3:B4"/>
    <mergeCell ref="A3:A4"/>
    <mergeCell ref="C3:C4"/>
    <mergeCell ref="D3:D4"/>
    <mergeCell ref="E3:G3"/>
    <mergeCell ref="H3:J3"/>
    <mergeCell ref="K3:M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5"/>
  <sheetViews>
    <sheetView topLeftCell="A34" zoomScale="80" zoomScaleNormal="80" workbookViewId="0">
      <selection activeCell="T46" sqref="T46"/>
    </sheetView>
  </sheetViews>
  <sheetFormatPr defaultRowHeight="15"/>
  <cols>
    <col min="1" max="1" width="12.85546875" customWidth="1"/>
    <col min="2" max="2" width="18.7109375" customWidth="1"/>
    <col min="3" max="3" width="16.85546875" customWidth="1"/>
    <col min="4" max="4" width="7.7109375" hidden="1" customWidth="1"/>
    <col min="5" max="5" width="5.85546875" customWidth="1"/>
    <col min="6" max="6" width="5.5703125" style="59" customWidth="1"/>
    <col min="7" max="7" width="6" customWidth="1"/>
    <col min="8" max="8" width="6.28515625" customWidth="1"/>
    <col min="9" max="9" width="7.28515625" customWidth="1"/>
    <col min="10" max="10" width="7.5703125" customWidth="1"/>
    <col min="11" max="11" width="6.7109375" customWidth="1"/>
    <col min="12" max="12" width="4.5703125" style="45" customWidth="1"/>
    <col min="13" max="13" width="7.28515625" customWidth="1"/>
    <col min="14" max="14" width="0.28515625" hidden="1" customWidth="1"/>
    <col min="15" max="16" width="7.7109375" hidden="1" customWidth="1"/>
    <col min="17" max="17" width="6" customWidth="1"/>
    <col min="18" max="18" width="9.140625" customWidth="1"/>
  </cols>
  <sheetData>
    <row r="1" spans="1:17">
      <c r="A1" s="45" t="s">
        <v>144</v>
      </c>
      <c r="B1" s="45"/>
      <c r="C1" s="49" t="s">
        <v>5</v>
      </c>
    </row>
    <row r="3" spans="1:17" s="1" customFormat="1">
      <c r="A3" s="163" t="s">
        <v>12</v>
      </c>
      <c r="B3" s="163" t="s">
        <v>13</v>
      </c>
      <c r="C3" s="163" t="s">
        <v>0</v>
      </c>
      <c r="D3" s="163" t="s">
        <v>1</v>
      </c>
      <c r="E3" s="162" t="s">
        <v>97</v>
      </c>
      <c r="F3" s="163"/>
      <c r="G3" s="163"/>
      <c r="H3" s="162" t="s">
        <v>98</v>
      </c>
      <c r="I3" s="163"/>
      <c r="J3" s="163"/>
      <c r="K3" s="162" t="s">
        <v>99</v>
      </c>
      <c r="L3" s="163"/>
      <c r="M3" s="163"/>
      <c r="N3" s="162" t="s">
        <v>448</v>
      </c>
      <c r="O3" s="162"/>
      <c r="P3" s="162"/>
      <c r="Q3" s="163" t="s">
        <v>2</v>
      </c>
    </row>
    <row r="4" spans="1:17" s="1" customFormat="1">
      <c r="A4" s="163"/>
      <c r="B4" s="163"/>
      <c r="C4" s="163"/>
      <c r="D4" s="163"/>
      <c r="E4" s="3" t="s">
        <v>6</v>
      </c>
      <c r="F4" s="61" t="s">
        <v>22</v>
      </c>
      <c r="G4" s="3" t="s">
        <v>7</v>
      </c>
      <c r="H4" s="3" t="s">
        <v>6</v>
      </c>
      <c r="I4" s="3" t="s">
        <v>22</v>
      </c>
      <c r="J4" s="3" t="s">
        <v>7</v>
      </c>
      <c r="K4" s="3" t="s">
        <v>6</v>
      </c>
      <c r="L4" s="124" t="s">
        <v>22</v>
      </c>
      <c r="M4" s="3" t="s">
        <v>7</v>
      </c>
      <c r="N4" s="3" t="s">
        <v>6</v>
      </c>
      <c r="O4" s="3" t="s">
        <v>22</v>
      </c>
      <c r="P4" s="3" t="s">
        <v>7</v>
      </c>
      <c r="Q4" s="163"/>
    </row>
    <row r="5" spans="1:17">
      <c r="A5" s="155" t="s">
        <v>125</v>
      </c>
      <c r="B5" s="155" t="s">
        <v>434</v>
      </c>
      <c r="C5" s="156" t="s">
        <v>23</v>
      </c>
      <c r="D5" s="146" t="s">
        <v>8</v>
      </c>
      <c r="E5" s="125">
        <v>1</v>
      </c>
      <c r="F5" s="127">
        <v>1</v>
      </c>
      <c r="G5" s="128">
        <v>0.44097222222222227</v>
      </c>
      <c r="H5" s="148">
        <v>1</v>
      </c>
      <c r="I5" s="157">
        <v>1</v>
      </c>
      <c r="J5" s="131">
        <v>0.44444444444444442</v>
      </c>
      <c r="K5" s="125">
        <v>1</v>
      </c>
      <c r="L5" s="127">
        <v>1</v>
      </c>
      <c r="M5" s="128">
        <v>0.45833333333333331</v>
      </c>
      <c r="N5" s="125"/>
      <c r="O5" s="125"/>
      <c r="P5" s="125"/>
      <c r="Q5" s="125">
        <f t="shared" ref="Q5:Q36" si="0">F5+I5+L5+O5</f>
        <v>3</v>
      </c>
    </row>
    <row r="6" spans="1:17" s="24" customFormat="1">
      <c r="A6" s="161" t="s">
        <v>26</v>
      </c>
      <c r="B6" s="161" t="s">
        <v>43</v>
      </c>
      <c r="C6" s="161" t="s">
        <v>23</v>
      </c>
      <c r="D6" s="134" t="s">
        <v>8</v>
      </c>
      <c r="E6" s="125">
        <v>2</v>
      </c>
      <c r="F6" s="127">
        <v>2</v>
      </c>
      <c r="G6" s="128">
        <v>0.45208333333333334</v>
      </c>
      <c r="H6" s="148">
        <v>2</v>
      </c>
      <c r="I6" s="157">
        <v>2</v>
      </c>
      <c r="J6" s="131">
        <v>0.44791666666666669</v>
      </c>
      <c r="K6" s="125">
        <v>6</v>
      </c>
      <c r="L6" s="127">
        <v>6</v>
      </c>
      <c r="M6" s="128">
        <v>0.48749999999999999</v>
      </c>
      <c r="N6" s="125"/>
      <c r="O6" s="125"/>
      <c r="P6" s="125"/>
      <c r="Q6" s="125">
        <f t="shared" si="0"/>
        <v>10</v>
      </c>
    </row>
    <row r="7" spans="1:17">
      <c r="A7" s="145" t="s">
        <v>139</v>
      </c>
      <c r="B7" s="145" t="s">
        <v>403</v>
      </c>
      <c r="C7" s="128" t="s">
        <v>163</v>
      </c>
      <c r="D7" s="160" t="s">
        <v>8</v>
      </c>
      <c r="E7" s="125">
        <v>6</v>
      </c>
      <c r="F7" s="132">
        <v>6</v>
      </c>
      <c r="G7" s="128">
        <v>0.47291666666666665</v>
      </c>
      <c r="H7" s="148">
        <v>3</v>
      </c>
      <c r="I7" s="158">
        <v>3</v>
      </c>
      <c r="J7" s="130">
        <v>0.46875</v>
      </c>
      <c r="K7" s="125">
        <v>7</v>
      </c>
      <c r="L7" s="127">
        <v>7</v>
      </c>
      <c r="M7" s="128">
        <v>0.48888888888888887</v>
      </c>
      <c r="N7" s="125"/>
      <c r="O7" s="125"/>
      <c r="P7" s="128"/>
      <c r="Q7" s="125">
        <f t="shared" si="0"/>
        <v>16</v>
      </c>
    </row>
    <row r="8" spans="1:17">
      <c r="A8" s="35" t="s">
        <v>391</v>
      </c>
      <c r="B8" s="35" t="s">
        <v>392</v>
      </c>
      <c r="C8" s="51" t="s">
        <v>36</v>
      </c>
      <c r="D8" s="48" t="s">
        <v>8</v>
      </c>
      <c r="E8" s="51">
        <v>9</v>
      </c>
      <c r="F8" s="90">
        <v>8</v>
      </c>
      <c r="G8" s="6">
        <v>0.48680555555555555</v>
      </c>
      <c r="H8" s="95">
        <v>6</v>
      </c>
      <c r="I8" s="124">
        <v>6</v>
      </c>
      <c r="J8" s="33">
        <v>0.47500000000000003</v>
      </c>
      <c r="K8" s="50">
        <v>5</v>
      </c>
      <c r="L8" s="45">
        <v>5</v>
      </c>
      <c r="M8" s="6">
        <v>0.48402777777777778</v>
      </c>
      <c r="N8" s="50"/>
      <c r="O8" s="50"/>
      <c r="P8" s="6"/>
      <c r="Q8" s="50">
        <f t="shared" si="0"/>
        <v>19</v>
      </c>
    </row>
    <row r="9" spans="1:17" s="25" customFormat="1">
      <c r="A9" s="56" t="s">
        <v>367</v>
      </c>
      <c r="B9" s="56" t="s">
        <v>441</v>
      </c>
      <c r="C9" s="57" t="s">
        <v>23</v>
      </c>
      <c r="D9" s="42" t="s">
        <v>8</v>
      </c>
      <c r="E9" s="51">
        <v>20</v>
      </c>
      <c r="F9" s="90">
        <v>17</v>
      </c>
      <c r="G9" s="6">
        <v>0.50555555555555554</v>
      </c>
      <c r="H9" s="95">
        <v>5</v>
      </c>
      <c r="I9" s="100">
        <v>5</v>
      </c>
      <c r="J9" s="96">
        <v>0.47291666666666665</v>
      </c>
      <c r="K9" s="25">
        <v>2</v>
      </c>
      <c r="L9" s="45">
        <v>2</v>
      </c>
      <c r="M9" s="6">
        <v>0.4694444444444445</v>
      </c>
      <c r="O9" s="34"/>
      <c r="P9" s="50"/>
      <c r="Q9" s="50">
        <f t="shared" si="0"/>
        <v>24</v>
      </c>
    </row>
    <row r="10" spans="1:17" s="25" customFormat="1">
      <c r="A10" s="56" t="s">
        <v>24</v>
      </c>
      <c r="B10" s="56" t="s">
        <v>25</v>
      </c>
      <c r="C10" s="56" t="s">
        <v>23</v>
      </c>
      <c r="D10" s="42" t="s">
        <v>8</v>
      </c>
      <c r="E10" s="51">
        <v>4</v>
      </c>
      <c r="F10" s="89">
        <v>4</v>
      </c>
      <c r="G10" s="6">
        <v>0.47152777777777777</v>
      </c>
      <c r="H10" s="95">
        <v>9</v>
      </c>
      <c r="I10" s="124">
        <v>9</v>
      </c>
      <c r="J10" s="96">
        <v>0.47986111111111113</v>
      </c>
      <c r="K10" s="25">
        <v>12</v>
      </c>
      <c r="L10" s="45">
        <v>12</v>
      </c>
      <c r="M10" s="6">
        <v>0.52500000000000002</v>
      </c>
      <c r="O10" s="34"/>
      <c r="P10" s="50"/>
      <c r="Q10" s="50">
        <f t="shared" si="0"/>
        <v>25</v>
      </c>
    </row>
    <row r="11" spans="1:17">
      <c r="A11" s="50" t="s">
        <v>140</v>
      </c>
      <c r="B11" s="50" t="s">
        <v>398</v>
      </c>
      <c r="C11" s="55" t="s">
        <v>15</v>
      </c>
      <c r="D11" s="40" t="s">
        <v>8</v>
      </c>
      <c r="E11" s="51">
        <v>7</v>
      </c>
      <c r="F11" s="90">
        <v>7</v>
      </c>
      <c r="G11" s="6">
        <v>0.48402777777777778</v>
      </c>
      <c r="H11" s="95">
        <v>4</v>
      </c>
      <c r="I11" s="92">
        <v>4</v>
      </c>
      <c r="J11" s="33">
        <v>0.47152777777777777</v>
      </c>
      <c r="L11" s="45">
        <v>14</v>
      </c>
      <c r="M11" s="6"/>
      <c r="O11" s="34"/>
      <c r="P11" s="6"/>
      <c r="Q11" s="50">
        <f t="shared" si="0"/>
        <v>25</v>
      </c>
    </row>
    <row r="12" spans="1:17">
      <c r="A12" s="50" t="s">
        <v>394</v>
      </c>
      <c r="B12" s="50" t="s">
        <v>401</v>
      </c>
      <c r="C12" s="6" t="s">
        <v>18</v>
      </c>
      <c r="D12" s="40" t="s">
        <v>8</v>
      </c>
      <c r="E12" s="51">
        <v>5</v>
      </c>
      <c r="F12" s="90">
        <v>5</v>
      </c>
      <c r="G12" s="6">
        <v>0.47291666666666665</v>
      </c>
      <c r="H12" s="95">
        <v>7</v>
      </c>
      <c r="I12" s="92">
        <v>7</v>
      </c>
      <c r="J12" s="33">
        <v>0.47569444444444442</v>
      </c>
      <c r="L12" s="45">
        <v>14</v>
      </c>
      <c r="M12" s="6"/>
      <c r="O12" s="34"/>
      <c r="P12" s="6"/>
      <c r="Q12" s="50">
        <f t="shared" si="0"/>
        <v>26</v>
      </c>
    </row>
    <row r="13" spans="1:17" s="26" customFormat="1">
      <c r="A13" s="35" t="s">
        <v>44</v>
      </c>
      <c r="B13" s="35" t="s">
        <v>414</v>
      </c>
      <c r="C13" s="6" t="s">
        <v>40</v>
      </c>
      <c r="D13" s="48" t="s">
        <v>8</v>
      </c>
      <c r="E13" s="51">
        <v>14</v>
      </c>
      <c r="F13" s="90">
        <v>12</v>
      </c>
      <c r="G13" s="6">
        <v>0.49583333333333335</v>
      </c>
      <c r="H13" s="95">
        <v>8</v>
      </c>
      <c r="I13" s="92">
        <v>8</v>
      </c>
      <c r="J13" s="96">
        <v>0.47638888888888892</v>
      </c>
      <c r="K13" s="26">
        <v>8</v>
      </c>
      <c r="L13" s="45">
        <v>8</v>
      </c>
      <c r="M13" s="6">
        <v>0.48888888888888887</v>
      </c>
      <c r="O13" s="34"/>
      <c r="P13" s="50"/>
      <c r="Q13" s="50">
        <f t="shared" si="0"/>
        <v>28</v>
      </c>
    </row>
    <row r="14" spans="1:17" s="50" customFormat="1">
      <c r="A14" s="35" t="s">
        <v>407</v>
      </c>
      <c r="B14" s="35" t="s">
        <v>419</v>
      </c>
      <c r="C14" s="6" t="s">
        <v>78</v>
      </c>
      <c r="D14" s="48" t="s">
        <v>8</v>
      </c>
      <c r="E14" s="51">
        <v>17</v>
      </c>
      <c r="F14" s="90">
        <v>14</v>
      </c>
      <c r="G14" s="6">
        <v>0.50069444444444444</v>
      </c>
      <c r="H14" s="95">
        <v>12</v>
      </c>
      <c r="I14" s="124">
        <v>11</v>
      </c>
      <c r="J14" s="33">
        <v>0.49305555555555558</v>
      </c>
      <c r="K14" s="50">
        <v>10</v>
      </c>
      <c r="L14" s="45">
        <v>10</v>
      </c>
      <c r="M14" s="6">
        <v>0.5083333333333333</v>
      </c>
      <c r="Q14" s="50">
        <f t="shared" si="0"/>
        <v>35</v>
      </c>
    </row>
    <row r="15" spans="1:17" s="50" customFormat="1">
      <c r="A15" s="35" t="s">
        <v>399</v>
      </c>
      <c r="B15" s="35" t="s">
        <v>49</v>
      </c>
      <c r="C15" s="55" t="s">
        <v>15</v>
      </c>
      <c r="D15" s="48" t="s">
        <v>8</v>
      </c>
      <c r="E15" s="51">
        <v>11</v>
      </c>
      <c r="F15" s="90">
        <v>10</v>
      </c>
      <c r="G15" s="6">
        <v>0.4916666666666667</v>
      </c>
      <c r="H15" s="95">
        <v>14</v>
      </c>
      <c r="I15" s="124">
        <v>13</v>
      </c>
      <c r="J15" s="33">
        <v>0.49444444444444446</v>
      </c>
      <c r="L15" s="45">
        <v>14</v>
      </c>
      <c r="M15" s="6"/>
      <c r="P15" s="6"/>
      <c r="Q15" s="50">
        <f t="shared" si="0"/>
        <v>37</v>
      </c>
    </row>
    <row r="16" spans="1:17" s="50" customFormat="1">
      <c r="A16" s="35" t="s">
        <v>426</v>
      </c>
      <c r="B16" s="35" t="s">
        <v>427</v>
      </c>
      <c r="C16" s="35" t="s">
        <v>424</v>
      </c>
      <c r="D16" s="48" t="s">
        <v>8</v>
      </c>
      <c r="E16" s="51">
        <v>22</v>
      </c>
      <c r="F16" s="90">
        <v>19</v>
      </c>
      <c r="G16" s="6">
        <v>0.51666666666666672</v>
      </c>
      <c r="H16" s="95">
        <v>11</v>
      </c>
      <c r="I16" s="124">
        <v>10</v>
      </c>
      <c r="J16" s="33">
        <v>0.48749999999999999</v>
      </c>
      <c r="L16" s="45">
        <v>14</v>
      </c>
      <c r="M16" s="6"/>
      <c r="Q16" s="50">
        <f t="shared" si="0"/>
        <v>43</v>
      </c>
    </row>
    <row r="17" spans="1:17">
      <c r="A17" s="35" t="s">
        <v>82</v>
      </c>
      <c r="B17" s="35" t="s">
        <v>626</v>
      </c>
      <c r="C17" s="6" t="s">
        <v>78</v>
      </c>
      <c r="D17" s="48" t="s">
        <v>8</v>
      </c>
      <c r="E17" s="51"/>
      <c r="F17" s="90">
        <v>25</v>
      </c>
      <c r="G17" s="6"/>
      <c r="H17" s="95">
        <v>13</v>
      </c>
      <c r="I17" s="124">
        <v>12</v>
      </c>
      <c r="J17" s="33">
        <v>0.49374999999999997</v>
      </c>
      <c r="K17">
        <v>9</v>
      </c>
      <c r="L17" s="45">
        <v>9</v>
      </c>
      <c r="M17" s="6">
        <v>0.5</v>
      </c>
      <c r="O17" s="34"/>
      <c r="P17" s="50"/>
      <c r="Q17" s="50">
        <f t="shared" si="0"/>
        <v>46</v>
      </c>
    </row>
    <row r="18" spans="1:17">
      <c r="A18" s="50" t="s">
        <v>396</v>
      </c>
      <c r="B18" s="50" t="s">
        <v>397</v>
      </c>
      <c r="C18" s="51" t="s">
        <v>36</v>
      </c>
      <c r="D18" s="40" t="s">
        <v>8</v>
      </c>
      <c r="E18" s="51">
        <v>21</v>
      </c>
      <c r="F18" s="90">
        <v>18</v>
      </c>
      <c r="G18" s="6">
        <v>0.51111111111111118</v>
      </c>
      <c r="H18" s="95">
        <v>18</v>
      </c>
      <c r="I18" s="101">
        <v>15</v>
      </c>
      <c r="J18" s="33">
        <v>0.50763888888888886</v>
      </c>
      <c r="L18" s="45">
        <v>14</v>
      </c>
      <c r="M18" s="6"/>
      <c r="O18" s="34"/>
      <c r="P18" s="6"/>
      <c r="Q18" s="50">
        <f t="shared" si="0"/>
        <v>47</v>
      </c>
    </row>
    <row r="19" spans="1:17" s="34" customFormat="1">
      <c r="A19" s="35" t="s">
        <v>420</v>
      </c>
      <c r="B19" s="35" t="s">
        <v>42</v>
      </c>
      <c r="C19" s="6" t="s">
        <v>78</v>
      </c>
      <c r="D19" s="48" t="s">
        <v>8</v>
      </c>
      <c r="E19" s="51">
        <v>24</v>
      </c>
      <c r="F19" s="90">
        <v>21</v>
      </c>
      <c r="G19" s="6">
        <v>0.52777777777777779</v>
      </c>
      <c r="H19" s="95">
        <v>16</v>
      </c>
      <c r="I19" s="92">
        <v>14</v>
      </c>
      <c r="J19" s="33">
        <v>0.50555555555555554</v>
      </c>
      <c r="L19" s="45">
        <v>14</v>
      </c>
      <c r="M19" s="6"/>
      <c r="P19" s="50"/>
      <c r="Q19" s="50">
        <f t="shared" si="0"/>
        <v>49</v>
      </c>
    </row>
    <row r="20" spans="1:17" s="27" customFormat="1">
      <c r="A20" s="35" t="s">
        <v>417</v>
      </c>
      <c r="B20" s="35" t="s">
        <v>418</v>
      </c>
      <c r="C20" s="6" t="s">
        <v>78</v>
      </c>
      <c r="D20" s="48" t="s">
        <v>8</v>
      </c>
      <c r="E20" s="51"/>
      <c r="F20" s="90">
        <v>25</v>
      </c>
      <c r="G20" s="6"/>
      <c r="H20" s="32"/>
      <c r="I20" s="124">
        <v>22</v>
      </c>
      <c r="J20" s="33"/>
      <c r="K20" s="27">
        <v>3</v>
      </c>
      <c r="L20" s="45">
        <v>3</v>
      </c>
      <c r="M20" s="6">
        <v>0.47569444444444442</v>
      </c>
      <c r="P20" s="6"/>
      <c r="Q20" s="50">
        <f t="shared" si="0"/>
        <v>50</v>
      </c>
    </row>
    <row r="21" spans="1:17" s="50" customFormat="1">
      <c r="A21" s="56" t="s">
        <v>435</v>
      </c>
      <c r="B21" s="56" t="s">
        <v>444</v>
      </c>
      <c r="C21" s="57" t="s">
        <v>23</v>
      </c>
      <c r="D21" s="42" t="s">
        <v>8</v>
      </c>
      <c r="E21" s="51"/>
      <c r="F21" s="90">
        <v>25</v>
      </c>
      <c r="G21" s="6"/>
      <c r="H21" s="95"/>
      <c r="I21" s="124">
        <v>22</v>
      </c>
      <c r="J21" s="96"/>
      <c r="K21" s="50">
        <v>4</v>
      </c>
      <c r="L21" s="45">
        <v>4</v>
      </c>
      <c r="M21" s="6">
        <v>0.48125000000000001</v>
      </c>
      <c r="Q21" s="50">
        <f t="shared" si="0"/>
        <v>51</v>
      </c>
    </row>
    <row r="22" spans="1:17">
      <c r="A22" s="57" t="s">
        <v>21</v>
      </c>
      <c r="B22" s="57" t="s">
        <v>31</v>
      </c>
      <c r="C22" s="57" t="s">
        <v>15</v>
      </c>
      <c r="D22" s="40" t="s">
        <v>8</v>
      </c>
      <c r="E22" s="51">
        <v>26</v>
      </c>
      <c r="F22" s="90">
        <v>22</v>
      </c>
      <c r="G22" s="6">
        <v>0.53819444444444442</v>
      </c>
      <c r="H22" s="95">
        <v>25</v>
      </c>
      <c r="I22" s="124">
        <v>17</v>
      </c>
      <c r="J22" s="96">
        <v>0.53333333333333333</v>
      </c>
      <c r="L22" s="45">
        <v>14</v>
      </c>
      <c r="M22" s="50"/>
      <c r="P22" s="50"/>
      <c r="Q22" s="50">
        <f t="shared" si="0"/>
        <v>53</v>
      </c>
    </row>
    <row r="23" spans="1:17">
      <c r="A23" s="50" t="s">
        <v>112</v>
      </c>
      <c r="B23" s="50" t="s">
        <v>113</v>
      </c>
      <c r="C23" s="51" t="s">
        <v>36</v>
      </c>
      <c r="D23" s="40" t="s">
        <v>8</v>
      </c>
      <c r="E23" s="51">
        <v>30</v>
      </c>
      <c r="F23" s="90">
        <v>23</v>
      </c>
      <c r="G23" s="6">
        <v>0.55763888888888891</v>
      </c>
      <c r="H23" s="95">
        <v>29</v>
      </c>
      <c r="I23" s="124">
        <v>19</v>
      </c>
      <c r="J23" s="96">
        <v>0.55277777777777781</v>
      </c>
      <c r="K23">
        <v>22</v>
      </c>
      <c r="L23" s="45">
        <v>13</v>
      </c>
      <c r="M23" s="6">
        <v>0.61111111111111105</v>
      </c>
      <c r="P23" s="6"/>
      <c r="Q23" s="50">
        <f t="shared" si="0"/>
        <v>55</v>
      </c>
    </row>
    <row r="24" spans="1:17">
      <c r="A24" s="35" t="s">
        <v>629</v>
      </c>
      <c r="B24" s="35" t="s">
        <v>630</v>
      </c>
      <c r="C24" s="6" t="s">
        <v>40</v>
      </c>
      <c r="D24" s="48" t="s">
        <v>8</v>
      </c>
      <c r="E24" s="51"/>
      <c r="F24" s="90">
        <v>25</v>
      </c>
      <c r="G24" s="6"/>
      <c r="H24" s="95">
        <v>23</v>
      </c>
      <c r="I24" s="124">
        <v>16</v>
      </c>
      <c r="J24" s="96">
        <v>0.52569444444444446</v>
      </c>
      <c r="L24" s="45">
        <v>14</v>
      </c>
      <c r="M24" s="50"/>
      <c r="P24" s="50"/>
      <c r="Q24" s="50">
        <f t="shared" si="0"/>
        <v>55</v>
      </c>
    </row>
    <row r="25" spans="1:17" s="28" customFormat="1">
      <c r="A25" s="58" t="s">
        <v>650</v>
      </c>
      <c r="B25" s="58" t="s">
        <v>689</v>
      </c>
      <c r="C25" s="56" t="s">
        <v>23</v>
      </c>
      <c r="D25" s="42" t="s">
        <v>8</v>
      </c>
      <c r="E25" s="51"/>
      <c r="F25" s="89">
        <v>25</v>
      </c>
      <c r="G25" s="6"/>
      <c r="H25" s="95">
        <v>27</v>
      </c>
      <c r="I25" s="124">
        <v>18</v>
      </c>
      <c r="J25" s="96">
        <v>0.54305555555555551</v>
      </c>
      <c r="L25" s="45">
        <v>14</v>
      </c>
      <c r="M25" s="50"/>
      <c r="P25" s="50"/>
      <c r="Q25" s="50">
        <f t="shared" si="0"/>
        <v>57</v>
      </c>
    </row>
    <row r="26" spans="1:17" s="50" customFormat="1">
      <c r="A26" s="35" t="s">
        <v>399</v>
      </c>
      <c r="B26" s="35" t="s">
        <v>51</v>
      </c>
      <c r="C26" s="35" t="s">
        <v>424</v>
      </c>
      <c r="D26" s="48" t="s">
        <v>8</v>
      </c>
      <c r="E26" s="51">
        <v>47</v>
      </c>
      <c r="F26" s="90">
        <v>24</v>
      </c>
      <c r="G26" s="6">
        <v>0.61597222222222225</v>
      </c>
      <c r="H26" s="95">
        <v>43</v>
      </c>
      <c r="I26" s="92">
        <v>20</v>
      </c>
      <c r="J26" s="33">
        <v>0.62152777777777779</v>
      </c>
      <c r="L26" s="45">
        <v>14</v>
      </c>
      <c r="P26" s="6"/>
      <c r="Q26" s="50">
        <f t="shared" si="0"/>
        <v>58</v>
      </c>
    </row>
    <row r="27" spans="1:17" s="28" customFormat="1" ht="14.25" customHeight="1">
      <c r="A27" s="50" t="s">
        <v>17</v>
      </c>
      <c r="B27" s="50" t="s">
        <v>398</v>
      </c>
      <c r="C27" s="55" t="s">
        <v>15</v>
      </c>
      <c r="D27" s="40" t="s">
        <v>8</v>
      </c>
      <c r="E27" s="51"/>
      <c r="F27" s="90">
        <v>25</v>
      </c>
      <c r="G27" s="6"/>
      <c r="H27" s="95"/>
      <c r="I27" s="124">
        <v>22</v>
      </c>
      <c r="J27" s="33"/>
      <c r="K27" s="28">
        <v>11</v>
      </c>
      <c r="L27" s="45">
        <v>11</v>
      </c>
      <c r="M27" s="6">
        <v>0.52013888888888882</v>
      </c>
      <c r="P27" s="6"/>
      <c r="Q27" s="50">
        <f t="shared" si="0"/>
        <v>58</v>
      </c>
    </row>
    <row r="28" spans="1:17" s="34" customFormat="1">
      <c r="A28" s="35" t="s">
        <v>631</v>
      </c>
      <c r="B28" s="35" t="s">
        <v>632</v>
      </c>
      <c r="C28" s="6" t="s">
        <v>40</v>
      </c>
      <c r="D28" s="48" t="s">
        <v>8</v>
      </c>
      <c r="E28" s="51"/>
      <c r="F28" s="90">
        <v>25</v>
      </c>
      <c r="G28" s="6"/>
      <c r="H28" s="95">
        <v>50</v>
      </c>
      <c r="I28" s="124">
        <v>21</v>
      </c>
      <c r="J28" s="96">
        <v>0.7631944444444444</v>
      </c>
      <c r="L28" s="45">
        <v>14</v>
      </c>
      <c r="M28" s="50"/>
      <c r="P28" s="50"/>
      <c r="Q28" s="50">
        <f t="shared" si="0"/>
        <v>60</v>
      </c>
    </row>
    <row r="29" spans="1:17" s="34" customFormat="1">
      <c r="A29" s="56" t="s">
        <v>435</v>
      </c>
      <c r="B29" s="56" t="s">
        <v>129</v>
      </c>
      <c r="C29" s="56" t="s">
        <v>23</v>
      </c>
      <c r="D29" s="42" t="s">
        <v>8</v>
      </c>
      <c r="E29" s="51">
        <v>3</v>
      </c>
      <c r="F29" s="90">
        <v>25</v>
      </c>
      <c r="G29" s="6">
        <v>0.46388888888888885</v>
      </c>
      <c r="H29" s="50"/>
      <c r="I29" s="100">
        <v>22</v>
      </c>
      <c r="J29" s="50"/>
      <c r="L29" s="45">
        <v>14</v>
      </c>
      <c r="M29" s="50"/>
      <c r="P29" s="50"/>
      <c r="Q29" s="50">
        <f t="shared" si="0"/>
        <v>61</v>
      </c>
    </row>
    <row r="30" spans="1:17" s="34" customFormat="1">
      <c r="A30" s="35" t="s">
        <v>417</v>
      </c>
      <c r="B30" s="35" t="s">
        <v>418</v>
      </c>
      <c r="C30" s="6" t="s">
        <v>78</v>
      </c>
      <c r="D30" s="48" t="s">
        <v>8</v>
      </c>
      <c r="E30" s="51">
        <v>10</v>
      </c>
      <c r="F30" s="90">
        <v>25</v>
      </c>
      <c r="G30" s="6">
        <v>0.48819444444444443</v>
      </c>
      <c r="H30" s="32"/>
      <c r="I30" s="92">
        <v>22</v>
      </c>
      <c r="J30" s="33"/>
      <c r="L30" s="45">
        <v>14</v>
      </c>
      <c r="M30" s="6"/>
      <c r="P30" s="50"/>
      <c r="Q30" s="50">
        <f t="shared" si="0"/>
        <v>61</v>
      </c>
    </row>
    <row r="31" spans="1:17" s="50" customFormat="1">
      <c r="A31" s="50" t="s">
        <v>17</v>
      </c>
      <c r="B31" s="50" t="s">
        <v>398</v>
      </c>
      <c r="C31" s="55" t="s">
        <v>15</v>
      </c>
      <c r="D31" s="40" t="s">
        <v>8</v>
      </c>
      <c r="E31" s="51">
        <v>13</v>
      </c>
      <c r="F31" s="90">
        <v>25</v>
      </c>
      <c r="G31" s="6">
        <v>0.49305555555555558</v>
      </c>
      <c r="H31" s="32"/>
      <c r="I31" s="124">
        <v>22</v>
      </c>
      <c r="J31" s="33"/>
      <c r="L31" s="45">
        <v>14</v>
      </c>
      <c r="M31" s="6"/>
      <c r="P31" s="6"/>
      <c r="Q31" s="50">
        <f t="shared" si="0"/>
        <v>61</v>
      </c>
    </row>
    <row r="32" spans="1:17" s="34" customFormat="1">
      <c r="A32" s="50" t="s">
        <v>143</v>
      </c>
      <c r="B32" s="50" t="s">
        <v>19</v>
      </c>
      <c r="C32" s="6" t="s">
        <v>18</v>
      </c>
      <c r="D32" s="40" t="s">
        <v>8</v>
      </c>
      <c r="E32" s="51">
        <v>16</v>
      </c>
      <c r="F32" s="90">
        <v>25</v>
      </c>
      <c r="G32" s="6">
        <v>0.50069444444444444</v>
      </c>
      <c r="H32" s="50"/>
      <c r="I32" s="100">
        <v>22</v>
      </c>
      <c r="J32" s="6"/>
      <c r="L32" s="45">
        <v>14</v>
      </c>
      <c r="M32" s="6"/>
      <c r="P32" s="6"/>
      <c r="Q32" s="50">
        <f t="shared" si="0"/>
        <v>61</v>
      </c>
    </row>
    <row r="33" spans="1:17" s="50" customFormat="1">
      <c r="A33" s="50" t="s">
        <v>367</v>
      </c>
      <c r="B33" s="50" t="s">
        <v>405</v>
      </c>
      <c r="C33" s="39" t="s">
        <v>70</v>
      </c>
      <c r="D33" s="40" t="s">
        <v>8</v>
      </c>
      <c r="E33" s="51">
        <v>18</v>
      </c>
      <c r="F33" s="90">
        <v>25</v>
      </c>
      <c r="G33" s="6">
        <v>0.50138888888888888</v>
      </c>
      <c r="H33" s="32"/>
      <c r="I33" s="124">
        <v>22</v>
      </c>
      <c r="J33" s="33"/>
      <c r="L33" s="45">
        <v>14</v>
      </c>
      <c r="M33" s="6"/>
      <c r="P33" s="6"/>
      <c r="Q33" s="50">
        <f t="shared" si="0"/>
        <v>61</v>
      </c>
    </row>
    <row r="34" spans="1:17" s="34" customFormat="1">
      <c r="A34" s="56" t="s">
        <v>439</v>
      </c>
      <c r="B34" s="56" t="s">
        <v>440</v>
      </c>
      <c r="C34" s="57" t="s">
        <v>23</v>
      </c>
      <c r="D34" s="42" t="s">
        <v>8</v>
      </c>
      <c r="E34" s="51">
        <v>19</v>
      </c>
      <c r="F34" s="90">
        <v>25</v>
      </c>
      <c r="G34" s="6">
        <v>0.50347222222222221</v>
      </c>
      <c r="H34" s="50"/>
      <c r="I34" s="100">
        <v>22</v>
      </c>
      <c r="J34" s="50"/>
      <c r="L34" s="45">
        <v>14</v>
      </c>
      <c r="M34" s="50"/>
      <c r="P34" s="50"/>
      <c r="Q34" s="50">
        <f t="shared" si="0"/>
        <v>61</v>
      </c>
    </row>
    <row r="35" spans="1:17" s="34" customFormat="1">
      <c r="A35" s="56" t="s">
        <v>127</v>
      </c>
      <c r="B35" s="56" t="s">
        <v>442</v>
      </c>
      <c r="C35" s="57" t="s">
        <v>23</v>
      </c>
      <c r="D35" s="42" t="s">
        <v>8</v>
      </c>
      <c r="E35" s="51">
        <v>23</v>
      </c>
      <c r="F35" s="90">
        <v>25</v>
      </c>
      <c r="G35" s="6">
        <v>0.5229166666666667</v>
      </c>
      <c r="H35" s="50"/>
      <c r="I35" s="100">
        <v>22</v>
      </c>
      <c r="J35" s="50"/>
      <c r="L35" s="45">
        <v>14</v>
      </c>
      <c r="M35" s="50"/>
      <c r="P35" s="50"/>
      <c r="Q35" s="50">
        <f t="shared" si="0"/>
        <v>61</v>
      </c>
    </row>
    <row r="36" spans="1:17" s="34" customFormat="1">
      <c r="A36" s="35" t="s">
        <v>82</v>
      </c>
      <c r="B36" s="35" t="s">
        <v>423</v>
      </c>
      <c r="C36" s="35" t="s">
        <v>424</v>
      </c>
      <c r="D36" s="48" t="s">
        <v>8</v>
      </c>
      <c r="E36" s="51">
        <v>27</v>
      </c>
      <c r="F36" s="90">
        <v>25</v>
      </c>
      <c r="G36" s="6">
        <v>0.55208333333333337</v>
      </c>
      <c r="H36" s="32"/>
      <c r="I36" s="92">
        <v>22</v>
      </c>
      <c r="J36" s="33"/>
      <c r="L36" s="45">
        <v>14</v>
      </c>
      <c r="M36" s="6"/>
      <c r="P36" s="6"/>
      <c r="Q36" s="50">
        <f t="shared" si="0"/>
        <v>61</v>
      </c>
    </row>
    <row r="37" spans="1:17" s="50" customFormat="1">
      <c r="A37" s="35" t="s">
        <v>128</v>
      </c>
      <c r="B37" s="35" t="s">
        <v>393</v>
      </c>
      <c r="C37" s="51" t="s">
        <v>36</v>
      </c>
      <c r="D37" s="48" t="s">
        <v>8</v>
      </c>
      <c r="E37" s="51">
        <v>29</v>
      </c>
      <c r="F37" s="90">
        <v>25</v>
      </c>
      <c r="G37" s="6">
        <v>0.5541666666666667</v>
      </c>
      <c r="H37" s="32"/>
      <c r="I37" s="92">
        <v>22</v>
      </c>
      <c r="J37" s="33"/>
      <c r="L37" s="45">
        <v>14</v>
      </c>
      <c r="Q37" s="50">
        <f t="shared" ref="Q37:Q68" si="1">F37+I37+L37+O37</f>
        <v>61</v>
      </c>
    </row>
    <row r="38" spans="1:17" s="50" customFormat="1">
      <c r="A38" s="50" t="s">
        <v>394</v>
      </c>
      <c r="B38" s="50" t="s">
        <v>154</v>
      </c>
      <c r="C38" s="51" t="s">
        <v>36</v>
      </c>
      <c r="D38" s="40" t="s">
        <v>8</v>
      </c>
      <c r="E38" s="51">
        <v>37</v>
      </c>
      <c r="F38" s="90">
        <v>25</v>
      </c>
      <c r="G38" s="6">
        <v>0.58263888888888882</v>
      </c>
      <c r="H38" s="32"/>
      <c r="I38" s="92">
        <v>22</v>
      </c>
      <c r="J38" s="33"/>
      <c r="L38" s="45">
        <v>14</v>
      </c>
      <c r="M38" s="6"/>
      <c r="P38" s="6"/>
      <c r="Q38" s="50">
        <f t="shared" si="1"/>
        <v>61</v>
      </c>
    </row>
    <row r="39" spans="1:17" s="28" customFormat="1">
      <c r="A39" s="50" t="s">
        <v>140</v>
      </c>
      <c r="B39" s="50" t="s">
        <v>395</v>
      </c>
      <c r="C39" s="51" t="s">
        <v>36</v>
      </c>
      <c r="D39" s="40" t="s">
        <v>8</v>
      </c>
      <c r="E39" s="51">
        <v>39</v>
      </c>
      <c r="F39" s="90">
        <v>25</v>
      </c>
      <c r="G39" s="6">
        <v>0.58819444444444446</v>
      </c>
      <c r="H39" s="32"/>
      <c r="I39" s="92">
        <v>22</v>
      </c>
      <c r="J39" s="33"/>
      <c r="L39" s="45">
        <v>14</v>
      </c>
      <c r="M39" s="6"/>
      <c r="N39" s="34"/>
      <c r="O39" s="34"/>
      <c r="P39" s="6"/>
      <c r="Q39" s="50">
        <f t="shared" si="1"/>
        <v>61</v>
      </c>
    </row>
    <row r="40" spans="1:17" s="50" customFormat="1">
      <c r="A40" s="35" t="s">
        <v>430</v>
      </c>
      <c r="B40" s="35" t="s">
        <v>431</v>
      </c>
      <c r="C40" s="35" t="s">
        <v>424</v>
      </c>
      <c r="D40" s="48" t="s">
        <v>8</v>
      </c>
      <c r="E40" s="51">
        <v>54</v>
      </c>
      <c r="F40" s="90">
        <v>25</v>
      </c>
      <c r="G40" s="6">
        <v>0.69305555555555554</v>
      </c>
      <c r="H40" s="32"/>
      <c r="I40" s="101">
        <v>22</v>
      </c>
      <c r="J40" s="33"/>
      <c r="L40" s="45">
        <v>14</v>
      </c>
      <c r="Q40" s="50">
        <f t="shared" si="1"/>
        <v>61</v>
      </c>
    </row>
    <row r="41" spans="1:17" s="28" customFormat="1">
      <c r="A41" s="156" t="s">
        <v>48</v>
      </c>
      <c r="B41" s="156" t="s">
        <v>50</v>
      </c>
      <c r="C41" s="156" t="s">
        <v>23</v>
      </c>
      <c r="D41" s="146" t="s">
        <v>10</v>
      </c>
      <c r="E41" s="125">
        <v>12</v>
      </c>
      <c r="F41" s="132">
        <v>2</v>
      </c>
      <c r="G41" s="128">
        <v>0.4916666666666667</v>
      </c>
      <c r="H41" s="148">
        <v>17</v>
      </c>
      <c r="I41" s="158">
        <v>3</v>
      </c>
      <c r="J41" s="131">
        <v>0.50694444444444442</v>
      </c>
      <c r="K41" s="125">
        <v>13</v>
      </c>
      <c r="L41" s="127">
        <v>1</v>
      </c>
      <c r="M41" s="128">
        <v>0.52569444444444446</v>
      </c>
      <c r="N41" s="125"/>
      <c r="O41" s="125"/>
      <c r="P41" s="125"/>
      <c r="Q41" s="125">
        <f t="shared" si="1"/>
        <v>6</v>
      </c>
    </row>
    <row r="42" spans="1:17" s="29" customFormat="1">
      <c r="A42" s="156" t="s">
        <v>443</v>
      </c>
      <c r="B42" s="156" t="s">
        <v>444</v>
      </c>
      <c r="C42" s="161" t="s">
        <v>23</v>
      </c>
      <c r="D42" s="146" t="s">
        <v>10</v>
      </c>
      <c r="E42" s="125">
        <v>25</v>
      </c>
      <c r="F42" s="132">
        <v>4</v>
      </c>
      <c r="G42" s="128">
        <v>0.53611111111111109</v>
      </c>
      <c r="H42" s="148">
        <v>22</v>
      </c>
      <c r="I42" s="158">
        <v>7</v>
      </c>
      <c r="J42" s="131">
        <v>0.52222222222222225</v>
      </c>
      <c r="K42" s="125">
        <v>14</v>
      </c>
      <c r="L42" s="127">
        <v>2</v>
      </c>
      <c r="M42" s="128">
        <v>0.53611111111111109</v>
      </c>
      <c r="N42" s="125"/>
      <c r="O42" s="125"/>
      <c r="P42" s="125"/>
      <c r="Q42" s="125">
        <f t="shared" si="1"/>
        <v>13</v>
      </c>
    </row>
    <row r="43" spans="1:17">
      <c r="A43" s="114" t="s">
        <v>432</v>
      </c>
      <c r="B43" s="114" t="s">
        <v>433</v>
      </c>
      <c r="C43" s="114" t="s">
        <v>424</v>
      </c>
      <c r="D43" s="111" t="s">
        <v>10</v>
      </c>
      <c r="E43" s="59">
        <v>8</v>
      </c>
      <c r="F43" s="90">
        <v>1</v>
      </c>
      <c r="G43" s="119">
        <v>0.48541666666666666</v>
      </c>
      <c r="H43" s="117">
        <v>10</v>
      </c>
      <c r="I43" s="61">
        <v>1</v>
      </c>
      <c r="J43" s="118">
        <v>0.48194444444444445</v>
      </c>
      <c r="K43" s="59"/>
      <c r="L43" s="89">
        <v>14</v>
      </c>
      <c r="M43" s="119"/>
      <c r="N43" s="59"/>
      <c r="O43" s="59"/>
      <c r="P43" s="59"/>
      <c r="Q43" s="59">
        <f t="shared" si="1"/>
        <v>16</v>
      </c>
    </row>
    <row r="44" spans="1:17">
      <c r="A44" s="125" t="s">
        <v>402</v>
      </c>
      <c r="B44" s="125" t="s">
        <v>673</v>
      </c>
      <c r="C44" s="128" t="s">
        <v>163</v>
      </c>
      <c r="D44" s="126" t="s">
        <v>10</v>
      </c>
      <c r="E44" s="125">
        <v>28</v>
      </c>
      <c r="F44" s="132">
        <v>5</v>
      </c>
      <c r="G44" s="128">
        <v>0.55347222222222225</v>
      </c>
      <c r="H44" s="148">
        <v>26</v>
      </c>
      <c r="I44" s="158">
        <v>9</v>
      </c>
      <c r="J44" s="131">
        <v>0.53472222222222221</v>
      </c>
      <c r="K44" s="125">
        <v>15</v>
      </c>
      <c r="L44" s="127">
        <v>3</v>
      </c>
      <c r="M44" s="128">
        <v>0.54097222222222219</v>
      </c>
      <c r="N44" s="125"/>
      <c r="O44" s="125"/>
      <c r="P44" s="125"/>
      <c r="Q44" s="125">
        <f t="shared" si="1"/>
        <v>17</v>
      </c>
    </row>
    <row r="45" spans="1:17">
      <c r="A45" s="57" t="s">
        <v>436</v>
      </c>
      <c r="B45" s="57" t="s">
        <v>437</v>
      </c>
      <c r="C45" s="57" t="s">
        <v>23</v>
      </c>
      <c r="D45" s="44" t="s">
        <v>10</v>
      </c>
      <c r="E45" s="51">
        <v>31</v>
      </c>
      <c r="F45" s="90">
        <v>6</v>
      </c>
      <c r="G45" s="6">
        <v>0.55833333333333335</v>
      </c>
      <c r="H45" s="95">
        <v>30</v>
      </c>
      <c r="I45" s="92">
        <v>11</v>
      </c>
      <c r="J45" s="33">
        <v>0.55555555555555558</v>
      </c>
      <c r="K45" s="34">
        <v>16</v>
      </c>
      <c r="L45" s="45">
        <v>4</v>
      </c>
      <c r="M45" s="6">
        <v>0.56805555555555554</v>
      </c>
      <c r="N45" s="34"/>
      <c r="O45" s="34"/>
      <c r="P45" s="6"/>
      <c r="Q45" s="50">
        <f t="shared" si="1"/>
        <v>21</v>
      </c>
    </row>
    <row r="46" spans="1:17">
      <c r="A46" s="56" t="s">
        <v>287</v>
      </c>
      <c r="B46" s="56" t="s">
        <v>438</v>
      </c>
      <c r="C46" s="57" t="s">
        <v>23</v>
      </c>
      <c r="D46" s="42" t="s">
        <v>10</v>
      </c>
      <c r="E46" s="51">
        <v>15</v>
      </c>
      <c r="F46" s="90">
        <v>3</v>
      </c>
      <c r="G46" s="6">
        <v>0.49861111111111112</v>
      </c>
      <c r="H46" s="95">
        <v>21</v>
      </c>
      <c r="I46" s="124">
        <v>6</v>
      </c>
      <c r="J46" s="96">
        <v>0.51666666666666672</v>
      </c>
      <c r="K46" s="34"/>
      <c r="L46" s="45">
        <v>15</v>
      </c>
      <c r="M46" s="50"/>
      <c r="N46" s="34"/>
      <c r="O46" s="34"/>
      <c r="P46" s="50"/>
      <c r="Q46" s="50">
        <f t="shared" si="1"/>
        <v>24</v>
      </c>
    </row>
    <row r="47" spans="1:17">
      <c r="A47" s="50" t="s">
        <v>81</v>
      </c>
      <c r="B47" s="50" t="s">
        <v>400</v>
      </c>
      <c r="C47" s="55" t="s">
        <v>15</v>
      </c>
      <c r="D47" s="40" t="s">
        <v>10</v>
      </c>
      <c r="E47" s="51">
        <v>33</v>
      </c>
      <c r="F47" s="90">
        <v>8</v>
      </c>
      <c r="G47" s="6">
        <v>0.56944444444444442</v>
      </c>
      <c r="H47" s="95">
        <v>34</v>
      </c>
      <c r="I47" s="92">
        <v>15</v>
      </c>
      <c r="J47" s="33">
        <v>0.57777777777777783</v>
      </c>
      <c r="K47" s="34">
        <v>17</v>
      </c>
      <c r="L47" s="45">
        <v>5</v>
      </c>
      <c r="M47" s="6">
        <v>0.57638888888888895</v>
      </c>
      <c r="N47" s="34"/>
      <c r="O47" s="34"/>
      <c r="P47" s="6"/>
      <c r="Q47" s="50">
        <f t="shared" si="1"/>
        <v>28</v>
      </c>
    </row>
    <row r="48" spans="1:17" s="50" customFormat="1">
      <c r="A48" s="50" t="s">
        <v>287</v>
      </c>
      <c r="B48" s="50" t="s">
        <v>340</v>
      </c>
      <c r="C48" s="6" t="s">
        <v>163</v>
      </c>
      <c r="D48" s="40" t="s">
        <v>10</v>
      </c>
      <c r="E48" s="51">
        <v>32</v>
      </c>
      <c r="F48" s="90">
        <v>7</v>
      </c>
      <c r="G48" s="6">
        <v>0.55972222222222223</v>
      </c>
      <c r="H48" s="95">
        <v>33</v>
      </c>
      <c r="I48" s="101">
        <v>14</v>
      </c>
      <c r="J48" s="96">
        <v>0.5708333333333333</v>
      </c>
      <c r="L48" s="45">
        <v>15</v>
      </c>
      <c r="Q48" s="50">
        <f t="shared" si="1"/>
        <v>36</v>
      </c>
    </row>
    <row r="49" spans="1:17">
      <c r="A49" s="57" t="s">
        <v>115</v>
      </c>
      <c r="B49" s="57" t="s">
        <v>116</v>
      </c>
      <c r="C49" s="57" t="s">
        <v>9</v>
      </c>
      <c r="D49" s="44" t="s">
        <v>10</v>
      </c>
      <c r="E49" s="51">
        <v>34</v>
      </c>
      <c r="F49" s="90">
        <v>9</v>
      </c>
      <c r="G49" s="6">
        <v>0.57847222222222217</v>
      </c>
      <c r="H49" s="95">
        <v>31</v>
      </c>
      <c r="I49" s="124">
        <v>12</v>
      </c>
      <c r="J49" s="33">
        <v>0.55833333333333335</v>
      </c>
      <c r="K49" s="34"/>
      <c r="L49" s="45">
        <v>15</v>
      </c>
      <c r="M49" s="6"/>
      <c r="N49" s="34"/>
      <c r="O49" s="34"/>
      <c r="P49" s="6"/>
      <c r="Q49" s="50">
        <f t="shared" si="1"/>
        <v>36</v>
      </c>
    </row>
    <row r="50" spans="1:17" s="30" customFormat="1">
      <c r="A50" s="50" t="s">
        <v>118</v>
      </c>
      <c r="B50" s="50" t="s">
        <v>406</v>
      </c>
      <c r="C50" s="57" t="s">
        <v>9</v>
      </c>
      <c r="D50" s="44" t="s">
        <v>10</v>
      </c>
      <c r="E50" s="51">
        <v>41</v>
      </c>
      <c r="F50" s="90">
        <v>14</v>
      </c>
      <c r="G50" s="6">
        <v>0.59652777777777777</v>
      </c>
      <c r="H50" s="95">
        <v>36</v>
      </c>
      <c r="I50" s="92">
        <v>17</v>
      </c>
      <c r="J50" s="33">
        <v>0.59097222222222223</v>
      </c>
      <c r="K50" s="34">
        <v>18</v>
      </c>
      <c r="L50" s="45">
        <v>6</v>
      </c>
      <c r="M50" s="6">
        <v>0.58680555555555558</v>
      </c>
      <c r="N50" s="34"/>
      <c r="O50" s="34"/>
      <c r="P50" s="50"/>
      <c r="Q50" s="50">
        <f t="shared" si="1"/>
        <v>37</v>
      </c>
    </row>
    <row r="51" spans="1:17">
      <c r="A51" s="35" t="s">
        <v>234</v>
      </c>
      <c r="B51" s="35" t="s">
        <v>406</v>
      </c>
      <c r="C51" s="35" t="s">
        <v>424</v>
      </c>
      <c r="D51" s="48" t="s">
        <v>10</v>
      </c>
      <c r="E51" s="51">
        <v>40</v>
      </c>
      <c r="F51" s="90">
        <v>13</v>
      </c>
      <c r="G51" s="6">
        <v>0.59097222222222223</v>
      </c>
      <c r="H51" s="95">
        <v>35</v>
      </c>
      <c r="I51" s="124">
        <v>16</v>
      </c>
      <c r="J51" s="96">
        <v>0.57916666666666672</v>
      </c>
      <c r="K51" s="34"/>
      <c r="L51" s="45">
        <v>15</v>
      </c>
      <c r="M51" s="50"/>
      <c r="N51" s="34"/>
      <c r="O51" s="34"/>
      <c r="P51" s="50"/>
      <c r="Q51" s="50">
        <f t="shared" si="1"/>
        <v>44</v>
      </c>
    </row>
    <row r="52" spans="1:17" s="34" customFormat="1">
      <c r="A52" s="56" t="s">
        <v>596</v>
      </c>
      <c r="B52" s="56" t="s">
        <v>262</v>
      </c>
      <c r="C52" s="57" t="s">
        <v>23</v>
      </c>
      <c r="D52" s="42" t="s">
        <v>10</v>
      </c>
      <c r="E52" s="51"/>
      <c r="F52" s="90">
        <v>27</v>
      </c>
      <c r="G52" s="6"/>
      <c r="H52" s="95">
        <v>15</v>
      </c>
      <c r="I52" s="124">
        <v>2</v>
      </c>
      <c r="J52" s="96">
        <v>0.50138888888888888</v>
      </c>
      <c r="L52" s="45">
        <v>15</v>
      </c>
      <c r="M52" s="50"/>
      <c r="P52" s="50"/>
      <c r="Q52" s="50">
        <f t="shared" si="1"/>
        <v>44</v>
      </c>
    </row>
    <row r="53" spans="1:17">
      <c r="A53" s="35" t="s">
        <v>409</v>
      </c>
      <c r="B53" s="35" t="s">
        <v>410</v>
      </c>
      <c r="C53" s="57" t="s">
        <v>9</v>
      </c>
      <c r="D53" s="48" t="s">
        <v>10</v>
      </c>
      <c r="E53" s="51">
        <v>45</v>
      </c>
      <c r="F53" s="90">
        <v>18</v>
      </c>
      <c r="G53" s="6">
        <v>0.6118055555555556</v>
      </c>
      <c r="H53" s="95">
        <v>40</v>
      </c>
      <c r="I53" s="92">
        <v>21</v>
      </c>
      <c r="J53" s="33">
        <v>0.61388888888888882</v>
      </c>
      <c r="K53" s="34">
        <v>19</v>
      </c>
      <c r="L53" s="45">
        <v>7</v>
      </c>
      <c r="M53" s="6">
        <v>0.59375</v>
      </c>
      <c r="N53" s="34"/>
      <c r="O53" s="34"/>
      <c r="P53" s="6"/>
      <c r="Q53" s="50">
        <f t="shared" si="1"/>
        <v>46</v>
      </c>
    </row>
    <row r="54" spans="1:17" s="31" customFormat="1" ht="13.5" customHeight="1">
      <c r="A54" s="35" t="s">
        <v>627</v>
      </c>
      <c r="B54" s="35" t="s">
        <v>628</v>
      </c>
      <c r="C54" s="6" t="s">
        <v>40</v>
      </c>
      <c r="D54" s="48" t="s">
        <v>10</v>
      </c>
      <c r="E54" s="51"/>
      <c r="F54" s="90">
        <v>27</v>
      </c>
      <c r="G54" s="6"/>
      <c r="H54" s="95">
        <v>19</v>
      </c>
      <c r="I54" s="124">
        <v>4</v>
      </c>
      <c r="J54" s="96">
        <v>0.5083333333333333</v>
      </c>
      <c r="K54" s="34"/>
      <c r="L54" s="45">
        <v>15</v>
      </c>
      <c r="M54" s="50"/>
      <c r="N54" s="34"/>
      <c r="O54" s="34"/>
      <c r="P54" s="50"/>
      <c r="Q54" s="50">
        <f t="shared" si="1"/>
        <v>46</v>
      </c>
    </row>
    <row r="55" spans="1:17" s="34" customFormat="1" ht="1.5" customHeight="1">
      <c r="A55" s="56" t="s">
        <v>135</v>
      </c>
      <c r="B55" s="56" t="s">
        <v>445</v>
      </c>
      <c r="C55" s="56" t="s">
        <v>23</v>
      </c>
      <c r="D55" s="42" t="s">
        <v>10</v>
      </c>
      <c r="E55" s="50">
        <v>38</v>
      </c>
      <c r="F55" s="90">
        <v>12</v>
      </c>
      <c r="G55" s="6">
        <v>0.58472222222222225</v>
      </c>
      <c r="H55" s="95">
        <v>39</v>
      </c>
      <c r="I55" s="92">
        <v>20</v>
      </c>
      <c r="J55" s="33">
        <v>0.60069444444444442</v>
      </c>
      <c r="L55" s="45">
        <v>15</v>
      </c>
      <c r="M55" s="6"/>
      <c r="P55" s="50"/>
      <c r="Q55" s="50">
        <f t="shared" si="1"/>
        <v>47</v>
      </c>
    </row>
    <row r="56" spans="1:17">
      <c r="A56" s="56" t="s">
        <v>653</v>
      </c>
      <c r="B56" s="56" t="s">
        <v>690</v>
      </c>
      <c r="C56" s="57" t="s">
        <v>23</v>
      </c>
      <c r="D56" s="42" t="s">
        <v>10</v>
      </c>
      <c r="E56" s="51"/>
      <c r="F56" s="90">
        <v>27</v>
      </c>
      <c r="G56" s="6"/>
      <c r="H56" s="95">
        <v>20</v>
      </c>
      <c r="I56" s="92">
        <v>5</v>
      </c>
      <c r="J56" s="96">
        <v>0.51041666666666663</v>
      </c>
      <c r="K56" s="34"/>
      <c r="L56" s="45">
        <v>15</v>
      </c>
      <c r="M56" s="50"/>
      <c r="N56" s="34"/>
      <c r="O56" s="34"/>
      <c r="P56" s="50"/>
      <c r="Q56" s="50">
        <f t="shared" si="1"/>
        <v>47</v>
      </c>
    </row>
    <row r="57" spans="1:17">
      <c r="A57" s="57" t="s">
        <v>654</v>
      </c>
      <c r="B57" s="57" t="s">
        <v>640</v>
      </c>
      <c r="C57" s="57" t="s">
        <v>23</v>
      </c>
      <c r="D57" s="44" t="s">
        <v>10</v>
      </c>
      <c r="E57" s="51"/>
      <c r="F57" s="89">
        <v>27</v>
      </c>
      <c r="G57" s="6"/>
      <c r="H57" s="95">
        <v>24</v>
      </c>
      <c r="I57" s="124">
        <v>8</v>
      </c>
      <c r="J57" s="96">
        <v>0.52847222222222223</v>
      </c>
      <c r="L57" s="45">
        <v>15</v>
      </c>
      <c r="M57" s="50"/>
      <c r="P57" s="50"/>
      <c r="Q57" s="50">
        <f t="shared" si="1"/>
        <v>50</v>
      </c>
    </row>
    <row r="58" spans="1:17" s="50" customFormat="1">
      <c r="A58" s="35" t="s">
        <v>239</v>
      </c>
      <c r="B58" s="35" t="s">
        <v>645</v>
      </c>
      <c r="C58" s="35" t="s">
        <v>424</v>
      </c>
      <c r="D58" s="48" t="s">
        <v>10</v>
      </c>
      <c r="E58" s="51"/>
      <c r="F58" s="90">
        <v>27</v>
      </c>
      <c r="G58" s="6"/>
      <c r="H58" s="95">
        <v>28</v>
      </c>
      <c r="I58" s="101">
        <v>10</v>
      </c>
      <c r="J58" s="33">
        <v>0.55069444444444449</v>
      </c>
      <c r="L58" s="45">
        <v>15</v>
      </c>
      <c r="P58" s="6"/>
      <c r="Q58" s="50">
        <f t="shared" si="1"/>
        <v>52</v>
      </c>
    </row>
    <row r="59" spans="1:17" s="50" customFormat="1">
      <c r="A59" s="35" t="s">
        <v>239</v>
      </c>
      <c r="B59" s="35" t="s">
        <v>429</v>
      </c>
      <c r="C59" s="35" t="s">
        <v>424</v>
      </c>
      <c r="D59" s="48" t="s">
        <v>10</v>
      </c>
      <c r="E59" s="51">
        <v>48</v>
      </c>
      <c r="F59" s="90">
        <v>20</v>
      </c>
      <c r="G59" s="6">
        <v>0.61875000000000002</v>
      </c>
      <c r="H59" s="95">
        <v>42</v>
      </c>
      <c r="I59" s="124">
        <v>23</v>
      </c>
      <c r="J59" s="33">
        <v>0.62083333333333335</v>
      </c>
      <c r="K59" s="50">
        <v>23</v>
      </c>
      <c r="L59" s="45">
        <v>10</v>
      </c>
      <c r="M59" s="6">
        <v>0.62708333333333333</v>
      </c>
      <c r="Q59" s="50">
        <f t="shared" si="1"/>
        <v>53</v>
      </c>
    </row>
    <row r="60" spans="1:17">
      <c r="A60" s="35" t="s">
        <v>635</v>
      </c>
      <c r="B60" s="35" t="s">
        <v>636</v>
      </c>
      <c r="C60" s="6" t="s">
        <v>174</v>
      </c>
      <c r="D60" s="48" t="s">
        <v>10</v>
      </c>
      <c r="E60" s="51"/>
      <c r="F60" s="90">
        <v>27</v>
      </c>
      <c r="G60" s="6"/>
      <c r="H60" s="95">
        <v>32</v>
      </c>
      <c r="I60" s="124">
        <v>13</v>
      </c>
      <c r="J60" s="33">
        <v>0.56041666666666667</v>
      </c>
      <c r="L60" s="45">
        <v>15</v>
      </c>
      <c r="M60" s="50"/>
      <c r="P60" s="50"/>
      <c r="Q60" s="50">
        <f t="shared" si="1"/>
        <v>55</v>
      </c>
    </row>
    <row r="61" spans="1:17" s="50" customFormat="1">
      <c r="A61" s="35" t="s">
        <v>415</v>
      </c>
      <c r="B61" s="35" t="s">
        <v>90</v>
      </c>
      <c r="C61" s="6" t="s">
        <v>40</v>
      </c>
      <c r="D61" s="48" t="s">
        <v>10</v>
      </c>
      <c r="E61" s="51">
        <v>35</v>
      </c>
      <c r="F61" s="90">
        <v>10</v>
      </c>
      <c r="G61" s="6">
        <v>0.57916666666666672</v>
      </c>
      <c r="H61" s="32"/>
      <c r="I61" s="92">
        <v>32</v>
      </c>
      <c r="J61" s="33"/>
      <c r="L61" s="45">
        <v>15</v>
      </c>
      <c r="M61" s="6"/>
      <c r="P61" s="6"/>
      <c r="Q61" s="50">
        <f t="shared" si="1"/>
        <v>57</v>
      </c>
    </row>
    <row r="62" spans="1:17" s="34" customFormat="1">
      <c r="A62" s="35" t="s">
        <v>425</v>
      </c>
      <c r="B62" s="35" t="s">
        <v>355</v>
      </c>
      <c r="C62" s="35" t="s">
        <v>424</v>
      </c>
      <c r="D62" s="48" t="s">
        <v>10</v>
      </c>
      <c r="E62" s="51">
        <v>43</v>
      </c>
      <c r="F62" s="90">
        <v>16</v>
      </c>
      <c r="G62" s="6">
        <v>0.60486111111111118</v>
      </c>
      <c r="H62" s="32"/>
      <c r="I62" s="92">
        <v>32</v>
      </c>
      <c r="J62" s="33"/>
      <c r="K62">
        <v>21</v>
      </c>
      <c r="L62" s="45">
        <v>9</v>
      </c>
      <c r="M62" s="6">
        <v>0.6020833333333333</v>
      </c>
      <c r="N62"/>
      <c r="O62"/>
      <c r="P62" s="6"/>
      <c r="Q62" s="50">
        <f t="shared" si="1"/>
        <v>57</v>
      </c>
    </row>
    <row r="63" spans="1:17">
      <c r="A63" s="50" t="s">
        <v>404</v>
      </c>
      <c r="B63" s="50" t="s">
        <v>57</v>
      </c>
      <c r="C63" s="39" t="s">
        <v>70</v>
      </c>
      <c r="D63" s="40" t="s">
        <v>10</v>
      </c>
      <c r="E63" s="51">
        <v>44</v>
      </c>
      <c r="F63" s="90">
        <v>17</v>
      </c>
      <c r="G63" s="6">
        <v>0.60902777777777783</v>
      </c>
      <c r="H63" s="32"/>
      <c r="I63" s="92">
        <v>32</v>
      </c>
      <c r="J63" s="33"/>
      <c r="K63">
        <v>20</v>
      </c>
      <c r="L63" s="45">
        <v>8</v>
      </c>
      <c r="M63" s="6">
        <v>0.59861111111111109</v>
      </c>
      <c r="P63" s="50"/>
      <c r="Q63" s="50">
        <f t="shared" si="1"/>
        <v>57</v>
      </c>
    </row>
    <row r="64" spans="1:17">
      <c r="A64" s="35" t="s">
        <v>421</v>
      </c>
      <c r="B64" s="35" t="s">
        <v>422</v>
      </c>
      <c r="C64" s="6" t="s">
        <v>78</v>
      </c>
      <c r="D64" s="48" t="s">
        <v>10</v>
      </c>
      <c r="E64" s="51">
        <v>36</v>
      </c>
      <c r="F64" s="90">
        <v>11</v>
      </c>
      <c r="G64" s="6">
        <v>0.57986111111111105</v>
      </c>
      <c r="H64" s="32"/>
      <c r="I64" s="92">
        <v>32</v>
      </c>
      <c r="J64" s="33"/>
      <c r="L64" s="45">
        <v>15</v>
      </c>
      <c r="M64" s="6"/>
      <c r="P64" s="50"/>
      <c r="Q64" s="50">
        <f t="shared" si="1"/>
        <v>58</v>
      </c>
    </row>
    <row r="65" spans="1:17" s="50" customFormat="1">
      <c r="A65" s="56" t="s">
        <v>651</v>
      </c>
      <c r="B65" s="56" t="s">
        <v>652</v>
      </c>
      <c r="C65" s="57" t="s">
        <v>23</v>
      </c>
      <c r="D65" s="42" t="s">
        <v>10</v>
      </c>
      <c r="E65" s="51"/>
      <c r="F65" s="90">
        <v>27</v>
      </c>
      <c r="G65" s="6"/>
      <c r="H65" s="95">
        <v>37</v>
      </c>
      <c r="I65" s="92">
        <v>18</v>
      </c>
      <c r="J65" s="96">
        <v>0.59791666666666665</v>
      </c>
      <c r="L65" s="45">
        <v>15</v>
      </c>
      <c r="Q65" s="50">
        <f t="shared" si="1"/>
        <v>60</v>
      </c>
    </row>
    <row r="66" spans="1:17">
      <c r="A66" s="35" t="s">
        <v>639</v>
      </c>
      <c r="B66" s="35" t="s">
        <v>640</v>
      </c>
      <c r="C66" s="6" t="s">
        <v>174</v>
      </c>
      <c r="D66" s="48" t="s">
        <v>10</v>
      </c>
      <c r="E66" s="51"/>
      <c r="F66" s="90">
        <v>27</v>
      </c>
      <c r="G66" s="6"/>
      <c r="H66" s="95">
        <v>38</v>
      </c>
      <c r="I66" s="92">
        <v>19</v>
      </c>
      <c r="J66" s="33">
        <v>0.59861111111111109</v>
      </c>
      <c r="L66" s="45">
        <v>15</v>
      </c>
      <c r="M66" s="50"/>
      <c r="P66" s="50"/>
      <c r="Q66" s="50">
        <f t="shared" si="1"/>
        <v>61</v>
      </c>
    </row>
    <row r="67" spans="1:17">
      <c r="A67" s="57" t="s">
        <v>55</v>
      </c>
      <c r="B67" s="57" t="s">
        <v>56</v>
      </c>
      <c r="C67" s="57" t="s">
        <v>15</v>
      </c>
      <c r="D67" s="40" t="s">
        <v>10</v>
      </c>
      <c r="E67" s="51">
        <v>42</v>
      </c>
      <c r="F67" s="90">
        <v>15</v>
      </c>
      <c r="G67" s="6">
        <v>0.59861111111111109</v>
      </c>
      <c r="H67" s="32"/>
      <c r="I67" s="92">
        <v>32</v>
      </c>
      <c r="J67" s="33"/>
      <c r="L67" s="45">
        <v>15</v>
      </c>
      <c r="M67" s="6"/>
      <c r="P67" s="6"/>
      <c r="Q67" s="50">
        <f t="shared" si="1"/>
        <v>62</v>
      </c>
    </row>
    <row r="68" spans="1:17" s="50" customFormat="1">
      <c r="A68" s="35" t="s">
        <v>411</v>
      </c>
      <c r="B68" s="35" t="s">
        <v>410</v>
      </c>
      <c r="C68" s="57" t="s">
        <v>9</v>
      </c>
      <c r="D68" s="48" t="s">
        <v>10</v>
      </c>
      <c r="E68" s="51">
        <v>53</v>
      </c>
      <c r="F68" s="90">
        <v>25</v>
      </c>
      <c r="G68" s="6">
        <v>0.68611111111111101</v>
      </c>
      <c r="H68" s="95">
        <v>48</v>
      </c>
      <c r="I68" s="92">
        <v>28</v>
      </c>
      <c r="J68" s="96">
        <v>0.6645833333333333</v>
      </c>
      <c r="K68" s="50">
        <v>24</v>
      </c>
      <c r="L68" s="45">
        <v>11</v>
      </c>
      <c r="M68" s="6">
        <v>0.64861111111111114</v>
      </c>
      <c r="Q68" s="50">
        <f t="shared" si="1"/>
        <v>64</v>
      </c>
    </row>
    <row r="69" spans="1:17" s="50" customFormat="1">
      <c r="A69" s="57" t="s">
        <v>641</v>
      </c>
      <c r="B69" s="57" t="s">
        <v>642</v>
      </c>
      <c r="C69" s="57" t="s">
        <v>15</v>
      </c>
      <c r="D69" s="40" t="s">
        <v>10</v>
      </c>
      <c r="E69" s="51"/>
      <c r="F69" s="90">
        <v>27</v>
      </c>
      <c r="G69" s="6"/>
      <c r="H69" s="95">
        <v>41</v>
      </c>
      <c r="I69" s="92">
        <v>22</v>
      </c>
      <c r="J69" s="96">
        <v>0.61805555555555558</v>
      </c>
      <c r="L69" s="45">
        <v>15</v>
      </c>
      <c r="Q69" s="50">
        <f t="shared" ref="Q69:Q82" si="2">F69+I69+L69+O69</f>
        <v>64</v>
      </c>
    </row>
    <row r="70" spans="1:17" s="50" customFormat="1">
      <c r="A70" s="35" t="s">
        <v>633</v>
      </c>
      <c r="B70" s="35" t="s">
        <v>634</v>
      </c>
      <c r="C70" s="6" t="s">
        <v>174</v>
      </c>
      <c r="D70" s="48" t="s">
        <v>10</v>
      </c>
      <c r="E70" s="51"/>
      <c r="F70" s="90">
        <v>27</v>
      </c>
      <c r="G70" s="6"/>
      <c r="H70" s="95">
        <v>45</v>
      </c>
      <c r="I70" s="92">
        <v>25</v>
      </c>
      <c r="J70" s="33">
        <v>0.62986111111111109</v>
      </c>
      <c r="K70" s="50">
        <v>26</v>
      </c>
      <c r="L70" s="45">
        <v>13</v>
      </c>
      <c r="M70" s="6">
        <v>0.66111111111111109</v>
      </c>
      <c r="Q70" s="50">
        <f t="shared" si="2"/>
        <v>65</v>
      </c>
    </row>
    <row r="71" spans="1:17">
      <c r="A71" s="35" t="s">
        <v>416</v>
      </c>
      <c r="B71" s="35" t="s">
        <v>76</v>
      </c>
      <c r="C71" s="6" t="s">
        <v>40</v>
      </c>
      <c r="D71" s="48" t="s">
        <v>10</v>
      </c>
      <c r="E71" s="51">
        <v>46</v>
      </c>
      <c r="F71" s="90">
        <v>19</v>
      </c>
      <c r="G71" s="6">
        <v>0.61319444444444449</v>
      </c>
      <c r="H71" s="32"/>
      <c r="I71" s="92">
        <v>32</v>
      </c>
      <c r="J71" s="33"/>
      <c r="L71" s="45">
        <v>15</v>
      </c>
      <c r="M71" s="50"/>
      <c r="P71" s="50"/>
      <c r="Q71" s="50">
        <f t="shared" si="2"/>
        <v>66</v>
      </c>
    </row>
    <row r="72" spans="1:17">
      <c r="A72" s="35" t="s">
        <v>637</v>
      </c>
      <c r="B72" s="35" t="s">
        <v>638</v>
      </c>
      <c r="C72" s="6" t="s">
        <v>174</v>
      </c>
      <c r="D72" s="48" t="s">
        <v>10</v>
      </c>
      <c r="E72" s="51"/>
      <c r="F72" s="90">
        <v>27</v>
      </c>
      <c r="G72" s="6"/>
      <c r="H72" s="95">
        <v>44</v>
      </c>
      <c r="I72" s="92">
        <v>24</v>
      </c>
      <c r="J72" s="33">
        <v>0.62777777777777777</v>
      </c>
      <c r="L72" s="45">
        <v>15</v>
      </c>
      <c r="M72" s="50"/>
      <c r="P72" s="50"/>
      <c r="Q72" s="50">
        <f t="shared" si="2"/>
        <v>66</v>
      </c>
    </row>
    <row r="73" spans="1:17" s="50" customFormat="1">
      <c r="A73" s="57" t="s">
        <v>407</v>
      </c>
      <c r="B73" s="57" t="s">
        <v>408</v>
      </c>
      <c r="C73" s="57" t="s">
        <v>9</v>
      </c>
      <c r="D73" s="44" t="s">
        <v>10</v>
      </c>
      <c r="E73" s="51">
        <v>49</v>
      </c>
      <c r="F73" s="90">
        <v>21</v>
      </c>
      <c r="G73" s="6">
        <v>0.62291666666666667</v>
      </c>
      <c r="H73" s="95"/>
      <c r="I73" s="92">
        <v>32</v>
      </c>
      <c r="J73" s="6"/>
      <c r="L73" s="45">
        <v>15</v>
      </c>
      <c r="M73" s="6"/>
      <c r="P73" s="6"/>
      <c r="Q73" s="50">
        <f t="shared" si="2"/>
        <v>68</v>
      </c>
    </row>
    <row r="74" spans="1:17" s="50" customFormat="1">
      <c r="A74" s="50" t="s">
        <v>643</v>
      </c>
      <c r="B74" s="50" t="s">
        <v>644</v>
      </c>
      <c r="C74" s="55" t="s">
        <v>15</v>
      </c>
      <c r="D74" s="40" t="s">
        <v>10</v>
      </c>
      <c r="E74" s="51"/>
      <c r="F74" s="90">
        <v>27</v>
      </c>
      <c r="G74" s="6"/>
      <c r="H74" s="95">
        <v>46</v>
      </c>
      <c r="I74" s="92">
        <v>26</v>
      </c>
      <c r="J74" s="33">
        <v>0.63055555555555554</v>
      </c>
      <c r="L74" s="45">
        <v>15</v>
      </c>
      <c r="P74" s="6"/>
      <c r="Q74" s="50">
        <f t="shared" si="2"/>
        <v>68</v>
      </c>
    </row>
    <row r="75" spans="1:17" s="50" customFormat="1">
      <c r="A75" s="50" t="s">
        <v>142</v>
      </c>
      <c r="B75" s="50" t="s">
        <v>389</v>
      </c>
      <c r="C75" s="50" t="s">
        <v>390</v>
      </c>
      <c r="D75" s="47" t="s">
        <v>10</v>
      </c>
      <c r="E75" s="51">
        <v>50</v>
      </c>
      <c r="F75" s="90">
        <v>22</v>
      </c>
      <c r="G75" s="6">
        <v>0.64444444444444449</v>
      </c>
      <c r="H75" s="32"/>
      <c r="I75" s="92">
        <v>32</v>
      </c>
      <c r="J75" s="33"/>
      <c r="L75" s="45">
        <v>15</v>
      </c>
      <c r="P75" s="6"/>
      <c r="Q75" s="50">
        <f t="shared" si="2"/>
        <v>69</v>
      </c>
    </row>
    <row r="76" spans="1:17" s="50" customFormat="1">
      <c r="A76" s="35" t="s">
        <v>428</v>
      </c>
      <c r="B76" s="35" t="s">
        <v>349</v>
      </c>
      <c r="C76" s="35" t="s">
        <v>424</v>
      </c>
      <c r="D76" s="48" t="s">
        <v>10</v>
      </c>
      <c r="E76" s="51">
        <v>55</v>
      </c>
      <c r="F76" s="90">
        <v>26</v>
      </c>
      <c r="G76" s="6">
        <v>0.7284722222222223</v>
      </c>
      <c r="H76" s="95">
        <v>49</v>
      </c>
      <c r="I76" s="92">
        <v>29</v>
      </c>
      <c r="J76" s="33">
        <v>0.71736111111111101</v>
      </c>
      <c r="K76" s="50">
        <v>27</v>
      </c>
      <c r="L76" s="45">
        <v>14</v>
      </c>
      <c r="M76" s="6">
        <v>0.66249999999999998</v>
      </c>
      <c r="Q76" s="50">
        <f t="shared" si="2"/>
        <v>69</v>
      </c>
    </row>
    <row r="77" spans="1:17" s="50" customFormat="1">
      <c r="A77" s="35" t="s">
        <v>624</v>
      </c>
      <c r="B77" s="35" t="s">
        <v>625</v>
      </c>
      <c r="C77" s="6" t="s">
        <v>163</v>
      </c>
      <c r="D77" s="48" t="s">
        <v>10</v>
      </c>
      <c r="E77" s="51"/>
      <c r="F77" s="90">
        <v>27</v>
      </c>
      <c r="G77" s="6"/>
      <c r="H77" s="95">
        <v>47</v>
      </c>
      <c r="I77" s="92">
        <v>27</v>
      </c>
      <c r="J77" s="33">
        <v>0.66041666666666665</v>
      </c>
      <c r="L77" s="45">
        <v>15</v>
      </c>
      <c r="Q77" s="50">
        <f t="shared" si="2"/>
        <v>69</v>
      </c>
    </row>
    <row r="78" spans="1:17">
      <c r="A78" s="35" t="s">
        <v>202</v>
      </c>
      <c r="B78" s="35" t="s">
        <v>368</v>
      </c>
      <c r="C78" s="6" t="s">
        <v>78</v>
      </c>
      <c r="D78" s="48" t="s">
        <v>10</v>
      </c>
      <c r="E78" s="51">
        <v>51</v>
      </c>
      <c r="F78" s="90">
        <v>23</v>
      </c>
      <c r="G78" s="6">
        <v>0.65277777777777779</v>
      </c>
      <c r="H78" s="32"/>
      <c r="I78" s="92">
        <v>32</v>
      </c>
      <c r="J78" s="33"/>
      <c r="L78" s="45">
        <v>15</v>
      </c>
      <c r="M78" s="6"/>
      <c r="P78" s="50"/>
      <c r="Q78" s="50">
        <f t="shared" si="2"/>
        <v>70</v>
      </c>
    </row>
    <row r="79" spans="1:17">
      <c r="A79" s="35" t="s">
        <v>412</v>
      </c>
      <c r="B79" s="35" t="s">
        <v>413</v>
      </c>
      <c r="C79" s="57" t="s">
        <v>9</v>
      </c>
      <c r="D79" s="48" t="s">
        <v>10</v>
      </c>
      <c r="E79" s="51">
        <v>52</v>
      </c>
      <c r="F79" s="90">
        <v>24</v>
      </c>
      <c r="G79" s="6">
        <v>0.68402777777777779</v>
      </c>
      <c r="H79" s="32"/>
      <c r="I79" s="92">
        <v>32</v>
      </c>
      <c r="J79" s="33"/>
      <c r="L79" s="45">
        <v>15</v>
      </c>
      <c r="M79" s="50"/>
      <c r="P79" s="50"/>
      <c r="Q79" s="50">
        <f t="shared" si="2"/>
        <v>71</v>
      </c>
    </row>
    <row r="80" spans="1:17">
      <c r="A80" s="35" t="s">
        <v>761</v>
      </c>
      <c r="B80" s="35" t="s">
        <v>762</v>
      </c>
      <c r="C80" s="35" t="s">
        <v>424</v>
      </c>
      <c r="D80" s="48" t="s">
        <v>10</v>
      </c>
      <c r="E80" s="51"/>
      <c r="F80" s="90">
        <v>27</v>
      </c>
      <c r="G80" s="6"/>
      <c r="H80" s="95"/>
      <c r="I80" s="92">
        <v>32</v>
      </c>
      <c r="J80" s="33"/>
      <c r="K80">
        <v>25</v>
      </c>
      <c r="L80" s="45">
        <v>12</v>
      </c>
      <c r="M80" s="6">
        <v>0.65486111111111112</v>
      </c>
      <c r="P80" s="6"/>
      <c r="Q80" s="50">
        <f t="shared" si="2"/>
        <v>71</v>
      </c>
    </row>
    <row r="81" spans="1:17">
      <c r="A81" s="35" t="s">
        <v>646</v>
      </c>
      <c r="B81" s="35" t="s">
        <v>647</v>
      </c>
      <c r="C81" s="35" t="s">
        <v>424</v>
      </c>
      <c r="D81" s="48" t="s">
        <v>10</v>
      </c>
      <c r="E81" s="51"/>
      <c r="F81" s="90">
        <v>27</v>
      </c>
      <c r="G81" s="6"/>
      <c r="H81" s="95">
        <v>51</v>
      </c>
      <c r="I81" s="92">
        <v>30</v>
      </c>
      <c r="J81" s="33">
        <v>0.79236111111111107</v>
      </c>
      <c r="L81" s="45">
        <v>15</v>
      </c>
      <c r="M81" s="50"/>
      <c r="P81" s="6"/>
      <c r="Q81" s="50">
        <f t="shared" si="2"/>
        <v>72</v>
      </c>
    </row>
    <row r="82" spans="1:17">
      <c r="A82" s="50" t="s">
        <v>648</v>
      </c>
      <c r="B82" s="50" t="s">
        <v>649</v>
      </c>
      <c r="C82" s="50" t="s">
        <v>390</v>
      </c>
      <c r="D82" s="40" t="s">
        <v>10</v>
      </c>
      <c r="E82" s="51"/>
      <c r="F82" s="90">
        <v>27</v>
      </c>
      <c r="G82" s="6"/>
      <c r="H82" s="95">
        <v>52</v>
      </c>
      <c r="I82" s="92">
        <v>31</v>
      </c>
      <c r="J82" s="33">
        <v>0.88263888888888886</v>
      </c>
      <c r="L82" s="45">
        <v>15</v>
      </c>
      <c r="M82" s="50"/>
      <c r="P82" s="50"/>
      <c r="Q82" s="50">
        <f t="shared" si="2"/>
        <v>73</v>
      </c>
    </row>
    <row r="84" spans="1:17">
      <c r="E84">
        <v>56</v>
      </c>
      <c r="F84" s="59">
        <v>27</v>
      </c>
      <c r="H84">
        <v>21</v>
      </c>
      <c r="I84" s="32">
        <v>31</v>
      </c>
    </row>
    <row r="88" spans="1:17">
      <c r="A88" s="64" t="s">
        <v>270</v>
      </c>
      <c r="B88" s="62"/>
      <c r="C88" s="62"/>
      <c r="D88" s="65"/>
      <c r="E88" s="62"/>
      <c r="F88" s="66" t="s">
        <v>97</v>
      </c>
      <c r="G88" s="67"/>
      <c r="H88" s="80"/>
      <c r="I88" s="67" t="s">
        <v>98</v>
      </c>
      <c r="J88" s="67"/>
      <c r="K88" s="67"/>
      <c r="L88" s="67" t="s">
        <v>99</v>
      </c>
      <c r="M88" s="67"/>
      <c r="N88" s="67"/>
      <c r="O88" s="67" t="s">
        <v>100</v>
      </c>
      <c r="P88" s="67"/>
      <c r="Q88" s="67" t="s">
        <v>101</v>
      </c>
    </row>
    <row r="89" spans="1:17" s="50" customFormat="1">
      <c r="A89" s="62" t="s">
        <v>18</v>
      </c>
      <c r="B89" s="62"/>
      <c r="C89" s="62"/>
      <c r="D89" s="65"/>
      <c r="E89" s="71" t="s">
        <v>491</v>
      </c>
      <c r="F89" s="82">
        <f>5+13+30</f>
        <v>48</v>
      </c>
      <c r="G89" s="69" t="s">
        <v>104</v>
      </c>
      <c r="H89" s="98" t="s">
        <v>655</v>
      </c>
      <c r="I89" s="62">
        <f>7+22+22</f>
        <v>51</v>
      </c>
      <c r="J89" s="69" t="s">
        <v>107</v>
      </c>
      <c r="K89" s="123" t="s">
        <v>763</v>
      </c>
      <c r="L89" s="67">
        <f>14+14+14</f>
        <v>42</v>
      </c>
      <c r="M89" s="69" t="s">
        <v>107</v>
      </c>
      <c r="N89" s="62"/>
      <c r="O89" s="62"/>
      <c r="P89" s="62"/>
      <c r="Q89" s="62">
        <f t="shared" ref="Q89:Q100" si="3">F89+I89+L89+O89</f>
        <v>141</v>
      </c>
    </row>
    <row r="90" spans="1:17">
      <c r="A90" s="62" t="s">
        <v>36</v>
      </c>
      <c r="B90" s="62"/>
      <c r="C90" s="62"/>
      <c r="D90" s="65"/>
      <c r="E90" s="68" t="s">
        <v>446</v>
      </c>
      <c r="F90" s="60">
        <f>8+18+25</f>
        <v>51</v>
      </c>
      <c r="G90" s="69" t="s">
        <v>105</v>
      </c>
      <c r="H90" s="98" t="s">
        <v>656</v>
      </c>
      <c r="I90" s="62">
        <f>6+15+19</f>
        <v>40</v>
      </c>
      <c r="J90" s="69" t="s">
        <v>105</v>
      </c>
      <c r="K90" s="123" t="s">
        <v>766</v>
      </c>
      <c r="L90" s="67">
        <f>5+13+14</f>
        <v>32</v>
      </c>
      <c r="M90" s="69" t="s">
        <v>104</v>
      </c>
      <c r="N90" s="62"/>
      <c r="O90" s="62">
        <f>N90</f>
        <v>0</v>
      </c>
      <c r="P90" s="62"/>
      <c r="Q90" s="62">
        <f t="shared" si="3"/>
        <v>123</v>
      </c>
    </row>
    <row r="91" spans="1:17">
      <c r="A91" s="143" t="s">
        <v>474</v>
      </c>
      <c r="B91" s="136"/>
      <c r="C91" s="136"/>
      <c r="D91" s="150"/>
      <c r="E91" s="138" t="s">
        <v>269</v>
      </c>
      <c r="F91" s="136">
        <f>1+2+3</f>
        <v>6</v>
      </c>
      <c r="G91" s="139" t="s">
        <v>109</v>
      </c>
      <c r="H91" s="151" t="s">
        <v>657</v>
      </c>
      <c r="I91" s="136">
        <f>1+2+5</f>
        <v>8</v>
      </c>
      <c r="J91" s="139" t="s">
        <v>109</v>
      </c>
      <c r="K91" s="159" t="s">
        <v>767</v>
      </c>
      <c r="L91" s="153">
        <f>1+2+4</f>
        <v>7</v>
      </c>
      <c r="M91" s="139" t="s">
        <v>102</v>
      </c>
      <c r="N91" s="136"/>
      <c r="O91" s="136">
        <f t="shared" ref="O91:O97" si="4">N91</f>
        <v>0</v>
      </c>
      <c r="P91" s="136"/>
      <c r="Q91" s="136">
        <f t="shared" si="3"/>
        <v>21</v>
      </c>
    </row>
    <row r="92" spans="1:17">
      <c r="A92" s="70" t="s">
        <v>475</v>
      </c>
      <c r="B92" s="62"/>
      <c r="C92" s="62"/>
      <c r="D92" s="65"/>
      <c r="E92" s="71" t="s">
        <v>447</v>
      </c>
      <c r="F92" s="60">
        <f>7+10+11</f>
        <v>28</v>
      </c>
      <c r="G92" s="69" t="s">
        <v>103</v>
      </c>
      <c r="H92" s="98" t="s">
        <v>658</v>
      </c>
      <c r="I92" s="62">
        <f>4+13+17</f>
        <v>34</v>
      </c>
      <c r="J92" s="69" t="s">
        <v>103</v>
      </c>
      <c r="K92" s="123" t="s">
        <v>764</v>
      </c>
      <c r="L92" s="67">
        <f xml:space="preserve"> 11+14+14</f>
        <v>39</v>
      </c>
      <c r="M92" s="69" t="s">
        <v>106</v>
      </c>
      <c r="N92" s="62"/>
      <c r="O92" s="62">
        <f t="shared" si="4"/>
        <v>0</v>
      </c>
      <c r="P92" s="62"/>
      <c r="Q92" s="62">
        <f t="shared" si="3"/>
        <v>101</v>
      </c>
    </row>
    <row r="93" spans="1:17">
      <c r="A93" s="72" t="s">
        <v>476</v>
      </c>
      <c r="B93" s="62"/>
      <c r="C93" s="62"/>
      <c r="D93" s="65"/>
      <c r="E93" s="71" t="s">
        <v>492</v>
      </c>
      <c r="F93" s="82">
        <f>12+30+30</f>
        <v>72</v>
      </c>
      <c r="G93" s="69" t="s">
        <v>107</v>
      </c>
      <c r="H93" s="98" t="s">
        <v>659</v>
      </c>
      <c r="I93" s="62">
        <f>8+16+21</f>
        <v>45</v>
      </c>
      <c r="J93" s="69" t="s">
        <v>110</v>
      </c>
      <c r="K93" s="123" t="s">
        <v>768</v>
      </c>
      <c r="L93" s="67">
        <f>8+14+14</f>
        <v>36</v>
      </c>
      <c r="M93" s="69" t="s">
        <v>110</v>
      </c>
      <c r="N93" s="62"/>
      <c r="O93" s="62">
        <f t="shared" si="4"/>
        <v>0</v>
      </c>
      <c r="P93" s="62"/>
      <c r="Q93" s="62">
        <f t="shared" si="3"/>
        <v>153</v>
      </c>
    </row>
    <row r="94" spans="1:17">
      <c r="A94" s="72" t="s">
        <v>477</v>
      </c>
      <c r="B94" s="62"/>
      <c r="C94" s="62"/>
      <c r="D94" s="65"/>
      <c r="E94" s="71" t="s">
        <v>493</v>
      </c>
      <c r="F94" s="73">
        <f>19+23+28</f>
        <v>70</v>
      </c>
      <c r="G94" s="74" t="s">
        <v>106</v>
      </c>
      <c r="H94" s="98" t="s">
        <v>660</v>
      </c>
      <c r="I94" s="62">
        <f>10+20+22</f>
        <v>52</v>
      </c>
      <c r="J94" s="69" t="s">
        <v>108</v>
      </c>
      <c r="K94" s="123" t="s">
        <v>769</v>
      </c>
      <c r="L94" s="67">
        <f>14+14+14</f>
        <v>42</v>
      </c>
      <c r="M94" s="69" t="s">
        <v>107</v>
      </c>
      <c r="N94" s="62"/>
      <c r="O94" s="62">
        <f t="shared" si="4"/>
        <v>0</v>
      </c>
      <c r="P94" s="62"/>
      <c r="Q94" s="62">
        <f t="shared" si="3"/>
        <v>164</v>
      </c>
    </row>
    <row r="95" spans="1:17">
      <c r="A95" s="72" t="s">
        <v>207</v>
      </c>
      <c r="B95" s="62"/>
      <c r="C95" s="62"/>
      <c r="D95" s="65"/>
      <c r="E95" s="71" t="s">
        <v>490</v>
      </c>
      <c r="F95" s="60">
        <f>15+31+31</f>
        <v>77</v>
      </c>
      <c r="G95" s="69" t="s">
        <v>108</v>
      </c>
      <c r="H95" s="98" t="s">
        <v>661</v>
      </c>
      <c r="I95" s="62">
        <f>22+22+22</f>
        <v>66</v>
      </c>
      <c r="J95" s="69" t="s">
        <v>452</v>
      </c>
      <c r="K95" s="123" t="s">
        <v>769</v>
      </c>
      <c r="L95" s="67">
        <f>14+14+14</f>
        <v>42</v>
      </c>
      <c r="M95" s="69" t="s">
        <v>107</v>
      </c>
      <c r="N95" s="62"/>
      <c r="O95" s="62">
        <f t="shared" si="4"/>
        <v>0</v>
      </c>
      <c r="P95" s="62"/>
      <c r="Q95" s="62">
        <f t="shared" si="3"/>
        <v>185</v>
      </c>
    </row>
    <row r="96" spans="1:17">
      <c r="A96" s="72" t="s">
        <v>390</v>
      </c>
      <c r="B96" s="62"/>
      <c r="C96" s="62"/>
      <c r="D96" s="65"/>
      <c r="E96" s="71" t="s">
        <v>494</v>
      </c>
      <c r="F96" s="82">
        <f>30+30+30</f>
        <v>90</v>
      </c>
      <c r="G96" s="69" t="s">
        <v>452</v>
      </c>
      <c r="H96" s="98" t="s">
        <v>661</v>
      </c>
      <c r="I96" s="62">
        <f>22+22+22</f>
        <v>66</v>
      </c>
      <c r="J96" s="69" t="s">
        <v>452</v>
      </c>
      <c r="K96" s="123" t="s">
        <v>769</v>
      </c>
      <c r="L96" s="67">
        <f>14+14+14</f>
        <v>42</v>
      </c>
      <c r="M96" s="69" t="s">
        <v>107</v>
      </c>
      <c r="N96" s="62"/>
      <c r="O96" s="62">
        <f t="shared" si="4"/>
        <v>0</v>
      </c>
      <c r="P96" s="62"/>
      <c r="Q96" s="62">
        <f t="shared" si="3"/>
        <v>198</v>
      </c>
    </row>
    <row r="97" spans="1:17">
      <c r="A97" s="72" t="s">
        <v>174</v>
      </c>
      <c r="B97" s="62"/>
      <c r="C97" s="62"/>
      <c r="D97" s="65"/>
      <c r="E97" s="71" t="s">
        <v>494</v>
      </c>
      <c r="F97" s="82">
        <f>30+30+30</f>
        <v>90</v>
      </c>
      <c r="G97" s="69" t="s">
        <v>452</v>
      </c>
      <c r="H97" s="98" t="s">
        <v>661</v>
      </c>
      <c r="I97" s="62">
        <f>22+22+22</f>
        <v>66</v>
      </c>
      <c r="J97" s="69" t="s">
        <v>452</v>
      </c>
      <c r="K97" s="123" t="s">
        <v>769</v>
      </c>
      <c r="L97" s="67">
        <f>14+14+14</f>
        <v>42</v>
      </c>
      <c r="M97" s="69" t="s">
        <v>107</v>
      </c>
      <c r="N97" s="62"/>
      <c r="O97" s="62">
        <f t="shared" si="4"/>
        <v>0</v>
      </c>
      <c r="P97" s="62"/>
      <c r="Q97" s="62">
        <f t="shared" si="3"/>
        <v>198</v>
      </c>
    </row>
    <row r="98" spans="1:17" s="50" customFormat="1">
      <c r="A98" s="91" t="s">
        <v>78</v>
      </c>
      <c r="B98" s="62"/>
      <c r="C98" s="62"/>
      <c r="D98" s="65"/>
      <c r="E98" s="71" t="s">
        <v>454</v>
      </c>
      <c r="F98" s="60">
        <f xml:space="preserve"> 9+14+21</f>
        <v>44</v>
      </c>
      <c r="G98" s="69" t="s">
        <v>104</v>
      </c>
      <c r="H98" s="71" t="s">
        <v>662</v>
      </c>
      <c r="I98" s="62">
        <f xml:space="preserve"> 11+12+14</f>
        <v>37</v>
      </c>
      <c r="J98" s="69" t="s">
        <v>104</v>
      </c>
      <c r="K98" s="123" t="s">
        <v>770</v>
      </c>
      <c r="L98" s="67">
        <f>3+9+10</f>
        <v>22</v>
      </c>
      <c r="M98" s="69" t="s">
        <v>103</v>
      </c>
      <c r="N98" s="62"/>
      <c r="O98" s="62"/>
      <c r="P98" s="62"/>
      <c r="Q98" s="62">
        <f t="shared" si="3"/>
        <v>103</v>
      </c>
    </row>
    <row r="99" spans="1:17" s="50" customFormat="1">
      <c r="A99" s="91" t="s">
        <v>457</v>
      </c>
      <c r="B99" s="62"/>
      <c r="C99" s="62"/>
      <c r="D99" s="65"/>
      <c r="E99" s="71" t="s">
        <v>494</v>
      </c>
      <c r="F99" s="82">
        <f>30+30+30</f>
        <v>90</v>
      </c>
      <c r="G99" s="69" t="s">
        <v>452</v>
      </c>
      <c r="H99" s="98" t="s">
        <v>661</v>
      </c>
      <c r="I99" s="62">
        <f>22+22+22</f>
        <v>66</v>
      </c>
      <c r="J99" s="69" t="s">
        <v>452</v>
      </c>
      <c r="K99" s="123" t="s">
        <v>769</v>
      </c>
      <c r="L99" s="67">
        <f>14+14+14</f>
        <v>42</v>
      </c>
      <c r="M99" s="69" t="s">
        <v>107</v>
      </c>
      <c r="N99" s="62"/>
      <c r="O99" s="62"/>
      <c r="P99" s="62"/>
      <c r="Q99" s="62">
        <f t="shared" si="3"/>
        <v>198</v>
      </c>
    </row>
    <row r="100" spans="1:17">
      <c r="A100" s="72" t="s">
        <v>163</v>
      </c>
      <c r="B100" s="62"/>
      <c r="C100" s="62"/>
      <c r="D100" s="65"/>
      <c r="E100" s="68" t="s">
        <v>495</v>
      </c>
      <c r="F100" s="60">
        <f>6+30+30</f>
        <v>66</v>
      </c>
      <c r="G100" s="69" t="s">
        <v>110</v>
      </c>
      <c r="H100" s="71" t="s">
        <v>663</v>
      </c>
      <c r="I100" s="62">
        <f>3+22+22</f>
        <v>47</v>
      </c>
      <c r="J100" s="69" t="s">
        <v>106</v>
      </c>
      <c r="K100" s="123" t="s">
        <v>771</v>
      </c>
      <c r="L100" s="67">
        <f>7+14+14</f>
        <v>35</v>
      </c>
      <c r="M100" s="69" t="s">
        <v>105</v>
      </c>
      <c r="N100" s="62"/>
      <c r="O100" s="62"/>
      <c r="P100" s="62"/>
      <c r="Q100" s="62">
        <f t="shared" si="3"/>
        <v>148</v>
      </c>
    </row>
    <row r="101" spans="1:17">
      <c r="A101" s="50"/>
      <c r="B101" s="50"/>
      <c r="C101" s="50"/>
      <c r="D101" s="43"/>
      <c r="E101" s="50"/>
      <c r="G101" s="46"/>
      <c r="H101" s="50"/>
      <c r="I101" s="50"/>
      <c r="J101" s="50"/>
      <c r="K101" s="50"/>
      <c r="M101" s="50"/>
      <c r="N101" s="50"/>
      <c r="O101" s="50"/>
      <c r="P101" s="50"/>
      <c r="Q101" s="50"/>
    </row>
    <row r="102" spans="1:17">
      <c r="A102" s="50"/>
      <c r="B102" s="50"/>
      <c r="C102" s="50"/>
      <c r="D102" s="43"/>
      <c r="E102" s="50"/>
      <c r="G102" s="50"/>
      <c r="H102" s="50"/>
      <c r="I102" s="50"/>
      <c r="J102" s="50"/>
      <c r="K102" s="50"/>
      <c r="M102" s="50"/>
      <c r="N102" s="50"/>
      <c r="O102" s="50"/>
      <c r="P102" s="50"/>
      <c r="Q102" s="50"/>
    </row>
    <row r="103" spans="1:17">
      <c r="A103" s="64" t="s">
        <v>271</v>
      </c>
      <c r="B103" s="62"/>
      <c r="C103" s="62"/>
      <c r="D103" s="65"/>
      <c r="E103" s="62"/>
      <c r="F103" s="66" t="s">
        <v>97</v>
      </c>
      <c r="G103" s="67"/>
      <c r="H103" s="67"/>
      <c r="I103" s="67" t="s">
        <v>98</v>
      </c>
      <c r="J103" s="67"/>
      <c r="K103" s="67"/>
      <c r="L103" s="67" t="s">
        <v>99</v>
      </c>
      <c r="M103" s="67"/>
      <c r="N103" s="67"/>
      <c r="O103" s="67" t="s">
        <v>100</v>
      </c>
      <c r="P103" s="67"/>
      <c r="Q103" s="67" t="s">
        <v>101</v>
      </c>
    </row>
    <row r="104" spans="1:17">
      <c r="A104" s="62" t="s">
        <v>36</v>
      </c>
      <c r="B104" s="62"/>
      <c r="C104" s="62"/>
      <c r="D104" s="65"/>
      <c r="E104" s="71" t="s">
        <v>496</v>
      </c>
      <c r="F104" s="82">
        <f>27+27+27</f>
        <v>81</v>
      </c>
      <c r="G104" s="69" t="s">
        <v>455</v>
      </c>
      <c r="H104" s="71" t="s">
        <v>664</v>
      </c>
      <c r="I104" s="82">
        <f xml:space="preserve"> 32+32+32</f>
        <v>96</v>
      </c>
      <c r="J104" s="69" t="s">
        <v>452</v>
      </c>
      <c r="K104" s="123" t="s">
        <v>772</v>
      </c>
      <c r="L104" s="107">
        <f>15+15+15</f>
        <v>45</v>
      </c>
      <c r="M104" s="69" t="s">
        <v>108</v>
      </c>
      <c r="N104" s="62"/>
      <c r="O104" s="62">
        <v>0</v>
      </c>
      <c r="P104" s="62"/>
      <c r="Q104" s="62">
        <f t="shared" ref="Q104:Q115" si="5">F104+I104+L104+O104</f>
        <v>222</v>
      </c>
    </row>
    <row r="105" spans="1:17">
      <c r="A105" s="143" t="s">
        <v>474</v>
      </c>
      <c r="B105" s="136"/>
      <c r="C105" s="136"/>
      <c r="D105" s="150"/>
      <c r="E105" s="138" t="s">
        <v>497</v>
      </c>
      <c r="F105" s="140">
        <f>2+3+4</f>
        <v>9</v>
      </c>
      <c r="G105" s="139" t="s">
        <v>109</v>
      </c>
      <c r="H105" s="138" t="s">
        <v>665</v>
      </c>
      <c r="I105" s="140">
        <f>2+3+5</f>
        <v>10</v>
      </c>
      <c r="J105" s="139" t="s">
        <v>109</v>
      </c>
      <c r="K105" s="159" t="s">
        <v>767</v>
      </c>
      <c r="L105" s="142">
        <f>1+2+4</f>
        <v>7</v>
      </c>
      <c r="M105" s="139" t="s">
        <v>109</v>
      </c>
      <c r="N105" s="136"/>
      <c r="O105" s="136">
        <v>0</v>
      </c>
      <c r="P105" s="136"/>
      <c r="Q105" s="136">
        <f t="shared" si="5"/>
        <v>26</v>
      </c>
    </row>
    <row r="106" spans="1:17">
      <c r="A106" s="70" t="s">
        <v>475</v>
      </c>
      <c r="B106" s="62"/>
      <c r="C106" s="62"/>
      <c r="D106" s="65"/>
      <c r="E106" s="71" t="s">
        <v>498</v>
      </c>
      <c r="F106" s="73">
        <f xml:space="preserve"> 8+15+27</f>
        <v>50</v>
      </c>
      <c r="G106" s="69" t="s">
        <v>110</v>
      </c>
      <c r="H106" s="71" t="s">
        <v>668</v>
      </c>
      <c r="I106" s="82">
        <f xml:space="preserve"> 15+22+26</f>
        <v>63</v>
      </c>
      <c r="J106" s="69" t="s">
        <v>106</v>
      </c>
      <c r="K106" s="123" t="s">
        <v>773</v>
      </c>
      <c r="L106" s="107">
        <f>5+15+15</f>
        <v>35</v>
      </c>
      <c r="M106" s="69" t="s">
        <v>110</v>
      </c>
      <c r="N106" s="62"/>
      <c r="O106" s="62">
        <v>0</v>
      </c>
      <c r="P106" s="62"/>
      <c r="Q106" s="62">
        <f t="shared" si="5"/>
        <v>148</v>
      </c>
    </row>
    <row r="107" spans="1:17">
      <c r="A107" s="72" t="s">
        <v>476</v>
      </c>
      <c r="B107" s="62"/>
      <c r="C107" s="62"/>
      <c r="D107" s="65"/>
      <c r="E107" s="71" t="s">
        <v>499</v>
      </c>
      <c r="F107" s="73">
        <f xml:space="preserve"> 10+19+27</f>
        <v>56</v>
      </c>
      <c r="G107" s="69" t="s">
        <v>106</v>
      </c>
      <c r="H107" s="71" t="s">
        <v>670</v>
      </c>
      <c r="I107" s="82">
        <f>4+32+32</f>
        <v>68</v>
      </c>
      <c r="J107" s="69" t="s">
        <v>107</v>
      </c>
      <c r="K107" s="123" t="s">
        <v>772</v>
      </c>
      <c r="L107" s="107">
        <f>15+15+15</f>
        <v>45</v>
      </c>
      <c r="M107" s="69" t="s">
        <v>108</v>
      </c>
      <c r="N107" s="62"/>
      <c r="O107" s="62">
        <v>0</v>
      </c>
      <c r="P107" s="62"/>
      <c r="Q107" s="62">
        <f t="shared" si="5"/>
        <v>169</v>
      </c>
    </row>
    <row r="108" spans="1:17">
      <c r="A108" s="72" t="s">
        <v>477</v>
      </c>
      <c r="B108" s="62"/>
      <c r="C108" s="62"/>
      <c r="D108" s="65"/>
      <c r="E108" s="71" t="s">
        <v>500</v>
      </c>
      <c r="F108" s="73">
        <f>1+13+16</f>
        <v>30</v>
      </c>
      <c r="G108" s="69" t="s">
        <v>103</v>
      </c>
      <c r="H108" s="71" t="s">
        <v>667</v>
      </c>
      <c r="I108" s="82">
        <f>1+10+16</f>
        <v>27</v>
      </c>
      <c r="J108" s="69" t="s">
        <v>103</v>
      </c>
      <c r="K108" s="123" t="s">
        <v>774</v>
      </c>
      <c r="L108" s="107">
        <f>9+10+12</f>
        <v>31</v>
      </c>
      <c r="M108" s="69" t="s">
        <v>104</v>
      </c>
      <c r="N108" s="62"/>
      <c r="O108" s="62">
        <v>0</v>
      </c>
      <c r="P108" s="62"/>
      <c r="Q108" s="62">
        <f t="shared" si="5"/>
        <v>88</v>
      </c>
    </row>
    <row r="109" spans="1:17">
      <c r="A109" s="72" t="s">
        <v>207</v>
      </c>
      <c r="B109" s="62"/>
      <c r="C109" s="62"/>
      <c r="D109" s="65"/>
      <c r="E109" s="71" t="s">
        <v>501</v>
      </c>
      <c r="F109" s="73">
        <f xml:space="preserve"> 17+27+27</f>
        <v>71</v>
      </c>
      <c r="G109" s="69" t="s">
        <v>108</v>
      </c>
      <c r="H109" s="71" t="s">
        <v>664</v>
      </c>
      <c r="I109" s="82">
        <f xml:space="preserve"> 32+32+32</f>
        <v>96</v>
      </c>
      <c r="J109" s="69" t="s">
        <v>452</v>
      </c>
      <c r="K109" s="123" t="s">
        <v>775</v>
      </c>
      <c r="L109" s="107">
        <f>8+15+15</f>
        <v>38</v>
      </c>
      <c r="M109" s="69" t="s">
        <v>106</v>
      </c>
      <c r="N109" s="62"/>
      <c r="O109" s="62">
        <v>0</v>
      </c>
      <c r="P109" s="62"/>
      <c r="Q109" s="62">
        <f t="shared" si="5"/>
        <v>205</v>
      </c>
    </row>
    <row r="110" spans="1:17">
      <c r="A110" s="72" t="s">
        <v>390</v>
      </c>
      <c r="B110" s="62"/>
      <c r="C110" s="62"/>
      <c r="D110" s="65"/>
      <c r="E110" s="71" t="s">
        <v>502</v>
      </c>
      <c r="F110" s="73">
        <f xml:space="preserve"> 22+27+27</f>
        <v>76</v>
      </c>
      <c r="G110" s="69" t="s">
        <v>452</v>
      </c>
      <c r="H110" s="71" t="s">
        <v>666</v>
      </c>
      <c r="I110" s="82">
        <f>31+32+32</f>
        <v>95</v>
      </c>
      <c r="J110" s="69" t="s">
        <v>108</v>
      </c>
      <c r="K110" s="123" t="s">
        <v>772</v>
      </c>
      <c r="L110" s="107">
        <f>15+15+15</f>
        <v>45</v>
      </c>
      <c r="M110" s="69" t="s">
        <v>108</v>
      </c>
      <c r="N110" s="62"/>
      <c r="O110" s="62">
        <v>0</v>
      </c>
      <c r="P110" s="62"/>
      <c r="Q110" s="62">
        <f t="shared" si="5"/>
        <v>216</v>
      </c>
    </row>
    <row r="111" spans="1:17">
      <c r="A111" s="72" t="s">
        <v>331</v>
      </c>
      <c r="B111" s="62"/>
      <c r="C111" s="62"/>
      <c r="D111" s="65"/>
      <c r="E111" s="71" t="s">
        <v>496</v>
      </c>
      <c r="F111" s="82">
        <f>27+27+27</f>
        <v>81</v>
      </c>
      <c r="G111" s="69" t="s">
        <v>455</v>
      </c>
      <c r="H111" s="71" t="s">
        <v>669</v>
      </c>
      <c r="I111" s="82">
        <f>13+19+24</f>
        <v>56</v>
      </c>
      <c r="J111" s="69" t="s">
        <v>110</v>
      </c>
      <c r="K111" s="123" t="s">
        <v>765</v>
      </c>
      <c r="L111" s="107">
        <f xml:space="preserve"> 13+15+15</f>
        <v>43</v>
      </c>
      <c r="M111" s="69" t="s">
        <v>107</v>
      </c>
      <c r="N111" s="62"/>
      <c r="O111" s="62">
        <v>0</v>
      </c>
      <c r="P111" s="62"/>
      <c r="Q111" s="62">
        <f t="shared" si="5"/>
        <v>180</v>
      </c>
    </row>
    <row r="112" spans="1:17">
      <c r="A112" s="72" t="s">
        <v>163</v>
      </c>
      <c r="B112" s="62"/>
      <c r="C112" s="62"/>
      <c r="D112" s="62"/>
      <c r="E112" s="68" t="s">
        <v>503</v>
      </c>
      <c r="F112" s="60">
        <f xml:space="preserve"> 5+7+27</f>
        <v>39</v>
      </c>
      <c r="G112" s="81" t="s">
        <v>104</v>
      </c>
      <c r="H112" s="71" t="s">
        <v>671</v>
      </c>
      <c r="I112" s="82">
        <f>9+14+27</f>
        <v>50</v>
      </c>
      <c r="J112" s="69" t="s">
        <v>104</v>
      </c>
      <c r="K112" s="123" t="s">
        <v>776</v>
      </c>
      <c r="L112" s="107">
        <f>3+15+15</f>
        <v>33</v>
      </c>
      <c r="M112" s="69" t="s">
        <v>105</v>
      </c>
      <c r="N112" s="62"/>
      <c r="O112" s="62"/>
      <c r="P112" s="62"/>
      <c r="Q112" s="62">
        <f t="shared" si="5"/>
        <v>122</v>
      </c>
    </row>
    <row r="113" spans="1:17" s="50" customFormat="1">
      <c r="A113" s="72" t="s">
        <v>18</v>
      </c>
      <c r="B113" s="62"/>
      <c r="C113" s="62"/>
      <c r="D113" s="62"/>
      <c r="E113" s="68" t="s">
        <v>496</v>
      </c>
      <c r="F113" s="60">
        <f>27+27+27</f>
        <v>81</v>
      </c>
      <c r="G113" s="81" t="s">
        <v>455</v>
      </c>
      <c r="H113" s="71" t="s">
        <v>664</v>
      </c>
      <c r="I113" s="82">
        <f xml:space="preserve"> 32+32+32</f>
        <v>96</v>
      </c>
      <c r="J113" s="69" t="s">
        <v>452</v>
      </c>
      <c r="K113" s="123" t="s">
        <v>772</v>
      </c>
      <c r="L113" s="107">
        <f>15+15+15</f>
        <v>45</v>
      </c>
      <c r="M113" s="69" t="s">
        <v>108</v>
      </c>
      <c r="N113" s="62"/>
      <c r="O113" s="62"/>
      <c r="P113" s="62"/>
      <c r="Q113" s="62">
        <f t="shared" si="5"/>
        <v>222</v>
      </c>
    </row>
    <row r="114" spans="1:17">
      <c r="A114" s="72" t="s">
        <v>9</v>
      </c>
      <c r="B114" s="62"/>
      <c r="C114" s="62"/>
      <c r="D114" s="62"/>
      <c r="E114" s="68" t="s">
        <v>504</v>
      </c>
      <c r="F114" s="60">
        <f>9+14+18</f>
        <v>41</v>
      </c>
      <c r="G114" s="81" t="s">
        <v>105</v>
      </c>
      <c r="H114" s="71" t="s">
        <v>672</v>
      </c>
      <c r="I114" s="82">
        <f xml:space="preserve"> 12+17+21</f>
        <v>50</v>
      </c>
      <c r="J114" s="69" t="s">
        <v>104</v>
      </c>
      <c r="K114" s="123" t="s">
        <v>777</v>
      </c>
      <c r="L114" s="107">
        <f>6+7+11</f>
        <v>24</v>
      </c>
      <c r="M114" s="69" t="s">
        <v>103</v>
      </c>
      <c r="N114" s="62"/>
      <c r="O114" s="62"/>
      <c r="P114" s="62"/>
      <c r="Q114" s="62">
        <f t="shared" si="5"/>
        <v>115</v>
      </c>
    </row>
    <row r="115" spans="1:17">
      <c r="A115" s="91" t="s">
        <v>78</v>
      </c>
      <c r="B115" s="62"/>
      <c r="C115" s="62"/>
      <c r="D115" s="62"/>
      <c r="E115" s="68" t="s">
        <v>505</v>
      </c>
      <c r="F115" s="76">
        <f xml:space="preserve"> 11+23+27</f>
        <v>61</v>
      </c>
      <c r="G115" s="81" t="s">
        <v>107</v>
      </c>
      <c r="H115" s="71" t="s">
        <v>664</v>
      </c>
      <c r="I115" s="82">
        <f xml:space="preserve"> 32+32+32</f>
        <v>96</v>
      </c>
      <c r="J115" s="69" t="s">
        <v>452</v>
      </c>
      <c r="K115" s="123" t="s">
        <v>772</v>
      </c>
      <c r="L115" s="107">
        <f>15+15+15</f>
        <v>45</v>
      </c>
      <c r="M115" s="69" t="s">
        <v>108</v>
      </c>
      <c r="N115" s="62"/>
      <c r="O115" s="62"/>
      <c r="P115" s="62"/>
      <c r="Q115" s="62">
        <f t="shared" si="5"/>
        <v>202</v>
      </c>
    </row>
  </sheetData>
  <sortState ref="A5:Q82">
    <sortCondition ref="D5:D82"/>
  </sortState>
  <mergeCells count="9">
    <mergeCell ref="N3:P3"/>
    <mergeCell ref="Q3:Q4"/>
    <mergeCell ref="B3:B4"/>
    <mergeCell ref="A3:A4"/>
    <mergeCell ref="C3:C4"/>
    <mergeCell ref="D3:D4"/>
    <mergeCell ref="E3:G3"/>
    <mergeCell ref="H3:J3"/>
    <mergeCell ref="K3:M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U11</vt:lpstr>
      <vt:lpstr>U13</vt:lpstr>
      <vt:lpstr>U15</vt:lpstr>
      <vt:lpstr>Sheet1</vt:lpstr>
    </vt:vector>
  </TitlesOfParts>
  <Company>University of Portsmouth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Schubert</dc:creator>
  <cp:lastModifiedBy>Nigel</cp:lastModifiedBy>
  <cp:lastPrinted>2018-02-23T09:23:43Z</cp:lastPrinted>
  <dcterms:created xsi:type="dcterms:W3CDTF">2013-11-03T16:17:42Z</dcterms:created>
  <dcterms:modified xsi:type="dcterms:W3CDTF">2018-03-09T16:29:00Z</dcterms:modified>
</cp:coreProperties>
</file>